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trlProps/ctrlProp4.xml" ContentType="application/vnd.ms-excel.controlproperties+xml"/>
  <Override PartName="/xl/drawings/drawing8.xml" ContentType="application/vnd.openxmlformats-officedocument.drawing+xml"/>
  <Override PartName="/xl/ctrlProps/ctrlProp5.xml" ContentType="application/vnd.ms-excel.controlproperties+xml"/>
  <Override PartName="/xl/comments2.xml" ContentType="application/vnd.openxmlformats-officedocument.spreadsheetml.comments+xml"/>
  <Override PartName="/xl/drawings/drawing9.xml" ContentType="application/vnd.openxmlformats-officedocument.drawing+xml"/>
  <Override PartName="/xl/ctrlProps/ctrlProp6.xml" ContentType="application/vnd.ms-excel.controlproperties+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https://chevron-my.sharepoint.com/personal/steven_westmoreland_chevron_com/Documents/"/>
    </mc:Choice>
  </mc:AlternateContent>
  <xr:revisionPtr revIDLastSave="0" documentId="8_{50A5073D-7589-4826-B5F6-36785069EEBC}" xr6:coauthVersionLast="47" xr6:coauthVersionMax="47" xr10:uidLastSave="{00000000-0000-0000-0000-000000000000}"/>
  <bookViews>
    <workbookView xWindow="-120" yWindow="-120" windowWidth="29040" windowHeight="17790" tabRatio="816" xr2:uid="{00000000-000D-0000-FFFF-FFFF00000000}"/>
  </bookViews>
  <sheets>
    <sheet name="Home" sheetId="21" r:id="rId1"/>
    <sheet name="Education" sheetId="24" r:id="rId2"/>
    <sheet name="FAQ" sheetId="30" r:id="rId3"/>
    <sheet name="User Guide" sheetId="7" r:id="rId4"/>
    <sheet name="Abbreviations" sheetId="14" r:id="rId5"/>
    <sheet name="Dashboard" sheetId="1" r:id="rId6"/>
    <sheet name=" Alt Calc - Refined Products" sheetId="23" r:id="rId7"/>
    <sheet name="Factors" sheetId="25" r:id="rId8"/>
    <sheet name="Oil and Refined Products" sheetId="16" r:id="rId9"/>
    <sheet name="Gas and LNG" sheetId="9" r:id="rId10"/>
    <sheet name="Biofuels" sheetId="19" r:id="rId11"/>
    <sheet name="NGLs" sheetId="15" r:id="rId12"/>
    <sheet name="Hydrogen" sheetId="11" r:id="rId13"/>
    <sheet name="Lower Carbon Power" sheetId="13" r:id="rId14"/>
    <sheet name="Terms and Conditions" sheetId="4" r:id="rId15"/>
  </sheets>
  <definedNames>
    <definedName name="_xlnm._FilterDatabase" localSheetId="4" hidden="1">Abbreviations!$B$4:$C$46</definedName>
    <definedName name="_xlnm._FilterDatabase" localSheetId="8" hidden="1">'Oil and Refined Products'!$B$80:$D$86</definedName>
    <definedName name="_xlnm.Print_Area" localSheetId="1">Education!$A$1:$AC$98</definedName>
    <definedName name="_xlnm.Print_Area" localSheetId="2">FAQ!$A$1:$E$43</definedName>
    <definedName name="_xlnm.Print_Area" localSheetId="12">Hydrogen!$A$1:$EF$47</definedName>
    <definedName name="_xlnm.Print_Area" localSheetId="13">'Lower Carbon Power'!$A$1:$M$36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3" l="1"/>
  <c r="C8" i="15"/>
  <c r="C7" i="15"/>
  <c r="C6" i="15"/>
  <c r="F36" i="15"/>
  <c r="F35" i="15"/>
  <c r="F34" i="15"/>
  <c r="E35" i="15"/>
  <c r="E34" i="15"/>
  <c r="D36" i="15"/>
  <c r="D35" i="15"/>
  <c r="D34" i="15"/>
  <c r="C8" i="9"/>
  <c r="C7" i="9"/>
  <c r="E35" i="9"/>
  <c r="F35" i="9"/>
  <c r="G35" i="9"/>
  <c r="G36" i="9"/>
  <c r="F38" i="9"/>
  <c r="F37" i="9"/>
  <c r="E37" i="9"/>
  <c r="E36" i="9"/>
  <c r="D38" i="9"/>
  <c r="D37" i="9"/>
  <c r="D35" i="9"/>
  <c r="C35" i="9"/>
  <c r="C37" i="9"/>
  <c r="F27" i="9"/>
  <c r="D43" i="25"/>
  <c r="C27" i="9"/>
  <c r="E55" i="16"/>
  <c r="C55" i="16"/>
  <c r="C18" i="19"/>
  <c r="C17" i="19"/>
  <c r="D11" i="23"/>
  <c r="C24" i="1"/>
  <c r="C18" i="1"/>
  <c r="E67" i="25" l="1"/>
  <c r="E68" i="25" s="1"/>
  <c r="E69" i="25" s="1"/>
  <c r="C22" i="1"/>
  <c r="C21" i="1"/>
  <c r="C19" i="1"/>
  <c r="C20" i="1"/>
  <c r="C15" i="1" l="1"/>
  <c r="C11" i="1"/>
  <c r="C10" i="1"/>
  <c r="C9" i="1"/>
  <c r="C26" i="1"/>
  <c r="C25" i="1"/>
  <c r="C19" i="9"/>
  <c r="C20" i="9"/>
  <c r="D18" i="16"/>
  <c r="C18" i="16"/>
  <c r="D18" i="19"/>
  <c r="D12" i="25"/>
  <c r="C19" i="16"/>
  <c r="C14" i="19"/>
  <c r="D27" i="15"/>
  <c r="F27" i="15" s="1"/>
  <c r="H98" i="25"/>
  <c r="F98" i="25"/>
  <c r="C15" i="9"/>
  <c r="C36" i="9" s="1"/>
  <c r="F69" i="25"/>
  <c r="F68" i="25"/>
  <c r="D45" i="16"/>
  <c r="D44" i="16"/>
  <c r="D43" i="16"/>
  <c r="D42" i="16"/>
  <c r="D41" i="16"/>
  <c r="F66" i="25"/>
  <c r="D18" i="15"/>
  <c r="D17" i="15"/>
  <c r="C21" i="15"/>
  <c r="D21" i="15"/>
  <c r="F67" i="25"/>
  <c r="D25" i="15"/>
  <c r="F21" i="1"/>
  <c r="C20" i="19"/>
  <c r="H19" i="1"/>
  <c r="D95" i="16"/>
  <c r="F43" i="25"/>
  <c r="F99" i="25"/>
  <c r="H99" i="25"/>
  <c r="F100" i="25"/>
  <c r="H100" i="25"/>
  <c r="F101" i="25"/>
  <c r="H101" i="25"/>
  <c r="F102" i="25"/>
  <c r="H102" i="25"/>
  <c r="B61" i="16"/>
  <c r="E31" i="9"/>
  <c r="H103" i="25"/>
  <c r="F103" i="25"/>
  <c r="C19" i="13"/>
  <c r="D19" i="13"/>
  <c r="C24" i="11"/>
  <c r="D19" i="19"/>
  <c r="D20" i="19"/>
  <c r="D17" i="19"/>
  <c r="F27" i="25"/>
  <c r="D27" i="25"/>
  <c r="E28" i="15"/>
  <c r="D14" i="19"/>
  <c r="D19" i="15"/>
  <c r="D21" i="9"/>
  <c r="D25" i="16"/>
  <c r="D20" i="9"/>
  <c r="B60" i="16"/>
  <c r="D24" i="16"/>
  <c r="C56" i="16"/>
  <c r="D14" i="13"/>
  <c r="D15" i="13"/>
  <c r="D13" i="13"/>
  <c r="D20" i="11"/>
  <c r="D19" i="11"/>
  <c r="D18" i="11"/>
  <c r="D17" i="11"/>
  <c r="D14" i="11"/>
  <c r="D13" i="11"/>
  <c r="D12" i="11"/>
  <c r="E27" i="15"/>
  <c r="D20" i="15"/>
  <c r="E30" i="9"/>
  <c r="E29" i="9"/>
  <c r="E28" i="9"/>
  <c r="D23" i="9"/>
  <c r="D22" i="9"/>
  <c r="D19" i="9"/>
  <c r="E95" i="16"/>
  <c r="E94" i="16"/>
  <c r="E92" i="16"/>
  <c r="D26" i="16"/>
  <c r="D23" i="25"/>
  <c r="C18" i="15"/>
  <c r="F23" i="25"/>
  <c r="D22" i="25"/>
  <c r="C17" i="15"/>
  <c r="F22" i="25"/>
  <c r="F20" i="1"/>
  <c r="F3" i="1" s="1"/>
  <c r="I19" i="1"/>
  <c r="F8" i="1"/>
  <c r="D15" i="23"/>
  <c r="C45" i="16"/>
  <c r="D14" i="23"/>
  <c r="C44" i="16"/>
  <c r="D13" i="23"/>
  <c r="C43" i="16"/>
  <c r="D12" i="23"/>
  <c r="C42" i="16"/>
  <c r="C41" i="16"/>
  <c r="B18" i="16"/>
  <c r="F8" i="25"/>
  <c r="D8" i="25"/>
  <c r="C31" i="9"/>
  <c r="C26" i="16"/>
  <c r="C14" i="13"/>
  <c r="E24" i="13" s="1"/>
  <c r="C15" i="13"/>
  <c r="E25" i="13" s="1"/>
  <c r="C13" i="13"/>
  <c r="C19" i="11"/>
  <c r="C18" i="11"/>
  <c r="C17" i="11"/>
  <c r="C13" i="11"/>
  <c r="C14" i="11"/>
  <c r="C12" i="11"/>
  <c r="E24" i="11" s="1"/>
  <c r="C19" i="19"/>
  <c r="D28" i="15"/>
  <c r="C20" i="15"/>
  <c r="C19" i="15"/>
  <c r="C29" i="9"/>
  <c r="C30" i="9"/>
  <c r="C28" i="9"/>
  <c r="C23" i="9"/>
  <c r="C22" i="9"/>
  <c r="C21" i="9"/>
  <c r="C25" i="16"/>
  <c r="D94" i="16"/>
  <c r="D92" i="16"/>
  <c r="E59" i="16"/>
  <c r="D59" i="16"/>
  <c r="C59" i="16"/>
  <c r="E58" i="16"/>
  <c r="D58" i="16"/>
  <c r="C58" i="16"/>
  <c r="E57" i="16"/>
  <c r="D57" i="16"/>
  <c r="C57" i="16"/>
  <c r="E56" i="16"/>
  <c r="D56" i="16"/>
  <c r="D55" i="16"/>
  <c r="C20" i="11"/>
  <c r="C24" i="16"/>
  <c r="F7" i="1"/>
  <c r="C13" i="16"/>
  <c r="D93" i="16"/>
  <c r="D91" i="16"/>
  <c r="C16" i="16"/>
  <c r="C11" i="19"/>
  <c r="C25" i="11"/>
  <c r="C26" i="11"/>
  <c r="C27" i="11" s="1"/>
  <c r="C25" i="13"/>
  <c r="C23" i="13"/>
  <c r="C24" i="13"/>
  <c r="D26" i="15"/>
  <c r="F26" i="15" s="1"/>
  <c r="B16" i="16"/>
  <c r="B13" i="16"/>
  <c r="B12" i="16"/>
  <c r="F25" i="15"/>
  <c r="C13" i="15"/>
  <c r="C35" i="15"/>
  <c r="C12" i="15"/>
  <c r="C34" i="15" s="1"/>
  <c r="C36" i="15" s="1"/>
  <c r="C12" i="16"/>
  <c r="C13" i="9"/>
  <c r="C12" i="9"/>
  <c r="C14" i="9"/>
  <c r="B12" i="13"/>
  <c r="B24" i="13"/>
  <c r="B14" i="13" s="1"/>
  <c r="B25" i="13"/>
  <c r="B15" i="13" s="1"/>
  <c r="B23" i="13"/>
  <c r="B13" i="13"/>
  <c r="H93" i="16" l="1"/>
  <c r="H92" i="16"/>
  <c r="F56" i="16"/>
  <c r="F28" i="15"/>
  <c r="H94" i="16"/>
  <c r="H95" i="16"/>
  <c r="H106" i="16" s="1"/>
  <c r="C14" i="16"/>
  <c r="G41" i="16"/>
  <c r="C64" i="16" s="1"/>
  <c r="C31" i="16"/>
  <c r="H91" i="16"/>
  <c r="E23" i="13"/>
  <c r="E26" i="13" s="1"/>
  <c r="C7" i="13" s="1"/>
  <c r="H18" i="1" s="1"/>
  <c r="D24" i="13"/>
  <c r="E26" i="11"/>
  <c r="D23" i="13"/>
  <c r="C26" i="13"/>
  <c r="F29" i="9"/>
  <c r="E25" i="11"/>
  <c r="F31" i="9"/>
  <c r="C23" i="19"/>
  <c r="C25" i="19" s="1"/>
  <c r="C7" i="19" s="1"/>
  <c r="C24" i="19"/>
  <c r="F30" i="9"/>
  <c r="F55" i="16"/>
  <c r="F58" i="16"/>
  <c r="F28" i="9"/>
  <c r="F57" i="16"/>
  <c r="F59" i="16"/>
  <c r="D25" i="11"/>
  <c r="F25" i="11" s="1"/>
  <c r="D25" i="13"/>
  <c r="G34" i="15"/>
  <c r="D36" i="9"/>
  <c r="G35" i="15"/>
  <c r="D24" i="11"/>
  <c r="D26" i="11"/>
  <c r="F26" i="11" s="1"/>
  <c r="G42" i="16"/>
  <c r="D65" i="16" s="1"/>
  <c r="C20" i="16"/>
  <c r="C36" i="16" s="1"/>
  <c r="G43" i="16"/>
  <c r="G44" i="16"/>
  <c r="C67" i="16" s="1"/>
  <c r="G45" i="16"/>
  <c r="H105" i="16" l="1"/>
  <c r="H104" i="16"/>
  <c r="H102" i="16"/>
  <c r="H101" i="16"/>
  <c r="D26" i="13"/>
  <c r="C6" i="13" s="1"/>
  <c r="E27" i="11"/>
  <c r="C7" i="11" s="1"/>
  <c r="H17" i="1" s="1"/>
  <c r="C32" i="16"/>
  <c r="C30" i="16"/>
  <c r="D85" i="16" s="1"/>
  <c r="H107" i="16"/>
  <c r="H103" i="16"/>
  <c r="C65" i="16"/>
  <c r="G15" i="1"/>
  <c r="F36" i="9"/>
  <c r="G18" i="1"/>
  <c r="I18" i="1" s="1"/>
  <c r="G36" i="15"/>
  <c r="H15" i="1"/>
  <c r="F24" i="11"/>
  <c r="F27" i="11" s="1"/>
  <c r="D27" i="11"/>
  <c r="C6" i="11" s="1"/>
  <c r="E65" i="16"/>
  <c r="C6" i="19"/>
  <c r="G16" i="1" s="1"/>
  <c r="H16" i="1"/>
  <c r="D64" i="16"/>
  <c r="E64" i="16"/>
  <c r="E68" i="16"/>
  <c r="D68" i="16"/>
  <c r="C68" i="16"/>
  <c r="E67" i="16"/>
  <c r="D67" i="16"/>
  <c r="D66" i="16"/>
  <c r="E66" i="16"/>
  <c r="C66" i="16"/>
  <c r="G37" i="9"/>
  <c r="G38" i="9" s="1"/>
  <c r="C6" i="9"/>
  <c r="C38" i="9"/>
  <c r="H14" i="1" l="1"/>
  <c r="C69" i="16"/>
  <c r="E69" i="16"/>
  <c r="D69" i="16"/>
  <c r="C33" i="16"/>
  <c r="D82" i="16" s="1"/>
  <c r="D86" i="16" s="1"/>
  <c r="D81" i="16"/>
  <c r="C37" i="16"/>
  <c r="C49" i="16" s="1"/>
  <c r="D84" i="16"/>
  <c r="C8" i="19"/>
  <c r="I15" i="1"/>
  <c r="C8" i="11"/>
  <c r="G17" i="1"/>
  <c r="I17" i="1" s="1"/>
  <c r="I16" i="1"/>
  <c r="G14" i="1"/>
  <c r="I14" i="1" l="1"/>
  <c r="D83" i="16"/>
  <c r="D87" i="16" s="1"/>
  <c r="B87" i="16" s="1"/>
  <c r="D37" i="16"/>
  <c r="C52" i="16"/>
  <c r="C50" i="16"/>
  <c r="D36" i="16"/>
  <c r="C51" i="16"/>
  <c r="C48" i="16"/>
  <c r="B86" i="16" l="1"/>
  <c r="B83" i="16"/>
  <c r="B85" i="16"/>
  <c r="B81" i="16"/>
  <c r="C101" i="16" s="1"/>
  <c r="B84" i="16"/>
  <c r="B82" i="16"/>
  <c r="C102" i="16" s="1"/>
  <c r="G49" i="16"/>
  <c r="C73" i="16" s="1"/>
  <c r="G50" i="16"/>
  <c r="C74" i="16" s="1"/>
  <c r="G51" i="16"/>
  <c r="D75" i="16" s="1"/>
  <c r="G52" i="16"/>
  <c r="E76" i="16" s="1"/>
  <c r="G48" i="16"/>
  <c r="D72" i="16" s="1"/>
  <c r="D74" i="16" l="1"/>
  <c r="B105" i="16"/>
  <c r="I105" i="16" s="1"/>
  <c r="C103" i="16"/>
  <c r="E74" i="16"/>
  <c r="C104" i="16"/>
  <c r="B101" i="16"/>
  <c r="E101" i="16" s="1"/>
  <c r="C75" i="16"/>
  <c r="E72" i="16"/>
  <c r="B103" i="16"/>
  <c r="I103" i="16" s="1"/>
  <c r="B102" i="16"/>
  <c r="G102" i="16" s="1"/>
  <c r="B106" i="16"/>
  <c r="G106" i="16" s="1"/>
  <c r="D73" i="16"/>
  <c r="C105" i="16"/>
  <c r="B104" i="16"/>
  <c r="G104" i="16" s="1"/>
  <c r="E73" i="16"/>
  <c r="B107" i="16"/>
  <c r="G107" i="16" s="1"/>
  <c r="C107" i="16"/>
  <c r="C106" i="16"/>
  <c r="C108" i="16" s="1"/>
  <c r="C72" i="16"/>
  <c r="C76" i="16"/>
  <c r="D76" i="16"/>
  <c r="E75" i="16"/>
  <c r="D77" i="16"/>
  <c r="F105" i="16" l="1"/>
  <c r="F103" i="16"/>
  <c r="E103" i="16"/>
  <c r="F101" i="16"/>
  <c r="D103" i="16"/>
  <c r="D105" i="16"/>
  <c r="E105" i="16"/>
  <c r="G105" i="16"/>
  <c r="F106" i="16"/>
  <c r="G103" i="16"/>
  <c r="E102" i="16"/>
  <c r="F104" i="16"/>
  <c r="D101" i="16"/>
  <c r="I102" i="16"/>
  <c r="D102" i="16"/>
  <c r="G101" i="16"/>
  <c r="E77" i="16"/>
  <c r="I106" i="16" s="1"/>
  <c r="J106" i="16" s="1"/>
  <c r="K106" i="16" s="1"/>
  <c r="F102" i="16"/>
  <c r="I101" i="16"/>
  <c r="F107" i="16"/>
  <c r="E106" i="16"/>
  <c r="C77" i="16"/>
  <c r="D106" i="16" s="1"/>
  <c r="J103" i="16"/>
  <c r="K103" i="16" s="1"/>
  <c r="E104" i="16"/>
  <c r="J105" i="16"/>
  <c r="K105" i="16" s="1"/>
  <c r="E107" i="16"/>
  <c r="D107" i="16" l="1"/>
  <c r="D108" i="16" s="1"/>
  <c r="C6" i="16" s="1"/>
  <c r="G13" i="1" s="1"/>
  <c r="G20" i="1" s="1"/>
  <c r="D104" i="16"/>
  <c r="I104" i="16"/>
  <c r="J104" i="16" s="1"/>
  <c r="K104" i="16" s="1"/>
  <c r="J102" i="16"/>
  <c r="K102" i="16" s="1"/>
  <c r="J101" i="16"/>
  <c r="K101" i="16" s="1"/>
  <c r="I107" i="16"/>
  <c r="J107" i="16" s="1"/>
  <c r="K107" i="16" s="1"/>
  <c r="K108" i="16" s="1"/>
  <c r="E108" i="16"/>
  <c r="C7" i="16" l="1"/>
  <c r="C8" i="16" s="1"/>
  <c r="H13" i="1" l="1"/>
  <c r="H20" i="1" l="1"/>
  <c r="I20" i="1" s="1"/>
  <c r="G3" i="1" s="1"/>
  <c r="I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Umer Farouq</author>
    <author>Author</author>
  </authors>
  <commentList>
    <comment ref="B7" authorId="0" shapeId="0" xr:uid="{55A4B4D9-14F2-43B5-A9A1-2107334BF848}">
      <text>
        <r>
          <rPr>
            <sz val="9"/>
            <color indexed="81"/>
            <rFont val="Tahoma"/>
            <family val="2"/>
          </rPr>
          <t>Energy companies have operations across a range of categories. The PCI methodology uses the volumes of hydrocarbons handled or electricity generated by companies within each category as inputs to the calculation.</t>
        </r>
      </text>
    </comment>
    <comment ref="D7" authorId="0" shapeId="0" xr:uid="{1F442881-7514-45AD-AA75-9C1821DF6B72}">
      <text>
        <r>
          <rPr>
            <sz val="9"/>
            <color indexed="81"/>
            <rFont val="Tahoma"/>
            <family val="2"/>
          </rPr>
          <t xml:space="preserve">• Thousand barrels per day (MBBL/day)
• Million cubic feet per day (MMCF/day)
• Kilograms carbon dioxide equivalent per barrel of oil equivalent (kg CO2e/BOE)
• Thousand barrel of oil equivalent per day (MBOE/day) [NOTE: I believe there is a typo in the unit for biofuels, should be MBOE/day not MBOED/day]
• Million tons hydrogen per year (MMT H2/yr.)
• Megawatt hours per year (MWh/yr.)
• Million metric tons carbon dioxide equivalent per year (MMT CO2e/yr.)
</t>
        </r>
      </text>
    </comment>
    <comment ref="B8" authorId="0" shapeId="0" xr:uid="{BF172098-807D-4C54-9103-B9E0CA9F00E9}">
      <text>
        <r>
          <rPr>
            <sz val="9"/>
            <color indexed="81"/>
            <rFont val="Tahoma"/>
            <family val="2"/>
          </rPr>
          <t xml:space="preserve">“Oil and Gas - Upstream” includes all produced crude oil, natural gas liquids, and natural gas. Where available, a user should enter their own calculated greenhouse gas intensity associated with gas and LNG or oil for “Equity GHG Intensity”.
</t>
        </r>
      </text>
    </comment>
    <comment ref="B9" authorId="1" shapeId="0" xr:uid="{F53FFBAF-4976-47D3-845F-8A5FAB2416FC}">
      <text>
        <r>
          <rPr>
            <sz val="11"/>
            <color theme="1"/>
            <rFont val="Calibri"/>
            <family val="2"/>
            <scheme val="minor"/>
          </rPr>
          <t>Sources for Chevron 2023 Information: 10-K (published 02/26/2024) Page 45, U.S. + International Upstream</t>
        </r>
      </text>
    </comment>
    <comment ref="B10" authorId="1" shapeId="0" xr:uid="{2908B324-5BCF-4019-A76B-4ACC820B534F}">
      <text>
        <r>
          <rPr>
            <sz val="11"/>
            <color theme="1"/>
            <rFont val="Calibri"/>
            <family val="2"/>
            <scheme val="minor"/>
          </rPr>
          <t>Sources for Chevron 2023 Information: 10-K  (published 02/26/2024) Page 45, U.S. + International Upstream</t>
        </r>
      </text>
    </comment>
    <comment ref="B11" authorId="1" shapeId="0" xr:uid="{46A56A11-5F97-4C83-99AC-094D87AB324F}">
      <text>
        <r>
          <rPr>
            <sz val="11"/>
            <color theme="1"/>
            <rFont val="Calibri"/>
            <family val="2"/>
            <scheme val="minor"/>
          </rPr>
          <t>Sources for Chevron 2023 Information: 10-K  (published 02/26/2024) Page 45 (footnote), U.S. + International Upstream</t>
        </r>
      </text>
    </comment>
    <comment ref="B12" authorId="1" shapeId="0" xr:uid="{2360A337-174A-4E20-B9B7-1465ECAE01F6}">
      <text>
        <r>
          <rPr>
            <sz val="11"/>
            <color theme="1"/>
            <rFont val="Calibri"/>
            <family val="2"/>
            <scheme val="minor"/>
          </rPr>
          <t>Sources for Chevron 2023 Information: 2023 Corporate Sustainability Report (p.56)</t>
        </r>
      </text>
    </comment>
    <comment ref="B13" authorId="1" shapeId="0" xr:uid="{166E047E-3152-4780-A0EF-580BE890E983}">
      <text>
        <r>
          <rPr>
            <sz val="11"/>
            <color theme="1"/>
            <rFont val="Calibri"/>
            <family val="2"/>
            <scheme val="minor"/>
          </rPr>
          <t>Sources for Chevron 2023 Information: 2023 Corporate Sustainability Report (p. 56)</t>
        </r>
      </text>
    </comment>
    <comment ref="B14" authorId="0" shapeId="0" xr:uid="{79193A57-37BE-4906-8E91-5557C6A56803}">
      <text>
        <r>
          <rPr>
            <sz val="9"/>
            <color indexed="81"/>
            <rFont val="Tahoma"/>
            <family val="2"/>
          </rPr>
          <t xml:space="preserve">“Oil and Gas - Downstream” includes products processed in a refinery. In this case, crude input to a refinery. Where available, a user should enter their own calculated greenhouse gas intensity associated with refining for “Equity Refinery GHG Intensity”. 
</t>
        </r>
      </text>
    </comment>
    <comment ref="B15" authorId="1" shapeId="0" xr:uid="{06A34255-F5A9-4AEF-B6CB-DB7FED7F75A8}">
      <text>
        <r>
          <rPr>
            <sz val="11"/>
            <color theme="1"/>
            <rFont val="Calibri"/>
            <family val="2"/>
            <scheme val="minor"/>
          </rPr>
          <t>Sources for Chevron 2023 Information: 
2023 Supplement to the Annual Report
Refinery capacities and crude oil inputs (p.21)</t>
        </r>
      </text>
    </comment>
    <comment ref="B16" authorId="1" shapeId="0" xr:uid="{4E309EF5-A7AA-4CCF-B8D2-42CBAFA01EBB}">
      <text>
        <r>
          <rPr>
            <sz val="11"/>
            <color theme="1"/>
            <rFont val="Calibri"/>
            <family val="2"/>
            <scheme val="minor"/>
          </rPr>
          <t>Sources for Chevron 2023 Information: 2023 Corporate Sustainability Report (p. 56)</t>
        </r>
      </text>
    </comment>
    <comment ref="B17" authorId="0" shapeId="0" xr:uid="{E0C479F8-D3FA-442F-8D61-2FA575791637}">
      <text>
        <r>
          <rPr>
            <sz val="9"/>
            <color indexed="81"/>
            <rFont val="Tahoma"/>
            <family val="2"/>
          </rPr>
          <t xml:space="preserve">“Oil - Marketing” includes fuel sold to customers. A user should enter volumes per day for each fuel type. If a company does not disclose individual products, click the “i” to access an alternative calculation approach.
</t>
        </r>
      </text>
    </comment>
    <comment ref="B18" authorId="1" shapeId="0" xr:uid="{4388FB2D-57D2-4C13-9826-FF5B16D0DF5A}">
      <text>
        <r>
          <rPr>
            <sz val="9"/>
            <color indexed="81"/>
            <rFont val="Tahoma"/>
            <family val="2"/>
          </rPr>
          <t>Sources for Chevron 2023 Information: 
2023 Supplement to the Annual Report 
Refined Product Sales Volumes - Worldwide
(p.24)</t>
        </r>
      </text>
    </comment>
    <comment ref="B19" authorId="1" shapeId="0" xr:uid="{BD3E4647-CA43-4914-938B-0C86F96B218B}">
      <text>
        <r>
          <rPr>
            <sz val="9"/>
            <color indexed="81"/>
            <rFont val="Tahoma"/>
            <family val="2"/>
          </rPr>
          <t>Sources for Chevron 2023 Information: 
2023 Supplement to the Annual Report 
Refined Product Sales Volumes - Worldwide
(p.24)</t>
        </r>
      </text>
    </comment>
    <comment ref="B20" authorId="1" shapeId="0" xr:uid="{456FCE9D-CF0B-4604-B977-A34363B53D9F}">
      <text>
        <r>
          <rPr>
            <sz val="9"/>
            <color indexed="81"/>
            <rFont val="Tahoma"/>
            <family val="2"/>
          </rPr>
          <t>Sources for Chevron 2023 Information: 
2023 Supplement to the Annual Report 
Refined Product Sales Volumes - Worldwide
(p.24)</t>
        </r>
      </text>
    </comment>
    <comment ref="B21" authorId="1" shapeId="0" xr:uid="{FB565761-342D-446B-8DA3-C59720DE4318}">
      <text>
        <r>
          <rPr>
            <sz val="9"/>
            <color indexed="81"/>
            <rFont val="Tahoma"/>
            <family val="2"/>
          </rPr>
          <t>Sources for Chevron 2023 Information: 
2023 Supplement to the Annual Report 
Refined Product Sales Volumes - Worldwide
(p.24)</t>
        </r>
      </text>
    </comment>
    <comment ref="B22" authorId="1" shapeId="0" xr:uid="{836EF746-4F20-48E6-A3A3-1FCA06094110}">
      <text>
        <r>
          <rPr>
            <sz val="9"/>
            <color indexed="81"/>
            <rFont val="Tahoma"/>
            <family val="2"/>
          </rPr>
          <t>Sources for Chevron 2023 Information: 
2023 Supplement to the Annual Report 
Refined Product Sales Volumes - Worldwide
(p.24)</t>
        </r>
      </text>
    </comment>
    <comment ref="B23" authorId="0" shapeId="0" xr:uid="{A657224C-8699-4379-8689-4879A49E63EB}">
      <text>
        <r>
          <rPr>
            <sz val="9"/>
            <color indexed="81"/>
            <rFont val="Tahoma"/>
            <family val="2"/>
          </rPr>
          <t xml:space="preserve">“Gas - Marketing” includes fuel sold to customers. A user should enter volumes per day for each fuel type. </t>
        </r>
      </text>
    </comment>
    <comment ref="B24" authorId="1" shapeId="0" xr:uid="{C6CDA1CE-04CF-48CA-87F7-3E7478548CDE}">
      <text>
        <r>
          <rPr>
            <sz val="11"/>
            <color theme="1"/>
            <rFont val="Calibri"/>
            <family val="2"/>
            <scheme val="minor"/>
          </rPr>
          <t>Sources for Chevron 2023 Information: Form 10K (published 02/26/2024) 
Selected Operating Data (p. 45)
U.S. Upstream, Sales of Natural Gas  
+ International Upstream Sales of Natural Gas  
+ U.S. Downstream, Sales of Natural Gas  
+ International Downstream Sales of Natural Gas</t>
        </r>
      </text>
    </comment>
    <comment ref="B25" authorId="1" shapeId="0" xr:uid="{86DB4819-76AE-4152-8343-E5256EAE2823}">
      <text>
        <r>
          <rPr>
            <sz val="11"/>
            <color theme="1"/>
            <rFont val="Calibri"/>
            <family val="2"/>
            <scheme val="minor"/>
          </rPr>
          <t xml:space="preserve">Sources for Chevron 2023 Information: Form 10K (published 02/26/2024) 
Selected Operating Data (p. 45)
U.S. Upstream, Sales of Natural Gas Liquids 
+ International Upstream Sales of Natural Gas Liquids </t>
        </r>
      </text>
    </comment>
    <comment ref="B26" authorId="1" shapeId="0" xr:uid="{FA57303B-0EAE-4800-8768-7FC84978553C}">
      <text>
        <r>
          <rPr>
            <sz val="11"/>
            <color theme="1"/>
            <rFont val="Calibri"/>
            <family val="2"/>
            <scheme val="minor"/>
          </rPr>
          <t>Sources for Chevron 2023 Information: Form 10K (published 02/26/2024)
Selected Operating Data (p. 45)
U.S. Downstream Sales of Natural Gas Liquids 
+ International Downstream, Sales of Natural Gas Liquids</t>
        </r>
      </text>
    </comment>
    <comment ref="B27" authorId="1" shapeId="0" xr:uid="{24F70CED-750D-436D-BF9F-169FC166F15A}">
      <text>
        <r>
          <rPr>
            <sz val="11"/>
            <color theme="1"/>
            <rFont val="Calibri"/>
            <family val="2"/>
            <scheme val="minor"/>
          </rPr>
          <t>CVX sales of Third Party LNG is captured in the "Natural Gas" line</t>
        </r>
      </text>
    </comment>
    <comment ref="B28" authorId="0" shapeId="0" xr:uid="{DA14A68B-53AD-4273-8425-7DC7B3B6DACB}">
      <text>
        <r>
          <rPr>
            <sz val="9"/>
            <color indexed="81"/>
            <rFont val="Tahoma"/>
            <family val="2"/>
          </rPr>
          <t>“Biofuels” include ethanol, renewable diesel, biodiesel, sustainable aviation fuel, and renewable natural gas. A user should a combined volume per day in barrels of oil equivalent.</t>
        </r>
      </text>
    </comment>
    <comment ref="B29" authorId="1" shapeId="0" xr:uid="{2A331656-8E2D-477B-9BE4-AE3F03EDA0D5}">
      <text>
        <r>
          <rPr>
            <sz val="9"/>
            <color indexed="81"/>
            <rFont val="Tahoma"/>
            <family val="2"/>
          </rPr>
          <t>Sources for Chevron 2023 Information: Internal Analysis  by Chevron based on feedstock allocation from the 2023 Chevron Performance Data (pg 22)</t>
        </r>
      </text>
    </comment>
    <comment ref="B30" authorId="0" shapeId="0" xr:uid="{91ABEDA5-9436-4F81-8958-176AD476610C}">
      <text>
        <r>
          <rPr>
            <sz val="9"/>
            <color indexed="81"/>
            <rFont val="Tahoma"/>
            <family val="2"/>
          </rPr>
          <t xml:space="preserve">“Hydrogen” includes fuel sold to customers. A user should enter million metric tons of hydrogen sold per year for each fuel type. Traditional hydrogen is produced through steam reformation of natural gas. CCUS-enabled hydrogen is produced through steam reformation of natural gas and the resulting carbon dioxide is captured and stored. Lower Carbon Electrolytic hydrogen is produced through electrolysis using renewable energy.
</t>
        </r>
      </text>
    </comment>
    <comment ref="B31" authorId="1" shapeId="0" xr:uid="{6BDDF481-BFED-4735-92E4-C20A878B73D8}">
      <text>
        <r>
          <rPr>
            <sz val="11"/>
            <color theme="1"/>
            <rFont val="Calibri"/>
            <family val="2"/>
            <scheme val="minor"/>
          </rPr>
          <t>Source: Not applicable.</t>
        </r>
      </text>
    </comment>
    <comment ref="B32" authorId="1" shapeId="0" xr:uid="{48107804-C402-43DD-84AF-12A992CEA002}">
      <text>
        <r>
          <rPr>
            <sz val="11"/>
            <color theme="1"/>
            <rFont val="Calibri"/>
            <family val="2"/>
            <scheme val="minor"/>
          </rPr>
          <t>Source: Not applicable.</t>
        </r>
      </text>
    </comment>
    <comment ref="B33" authorId="1" shapeId="0" xr:uid="{129B691F-FE87-46F5-8624-DD0B5AECA67D}">
      <text>
        <r>
          <rPr>
            <sz val="11"/>
            <color theme="1"/>
            <rFont val="Calibri"/>
            <family val="2"/>
            <scheme val="minor"/>
          </rPr>
          <t>Source: Not applicable.</t>
        </r>
      </text>
    </comment>
    <comment ref="B34" authorId="0" shapeId="0" xr:uid="{9E0B53EF-D7A0-4E18-8C47-8DAD7BC01519}">
      <text>
        <r>
          <rPr>
            <sz val="9"/>
            <color indexed="81"/>
            <rFont val="Tahoma"/>
            <family val="2"/>
          </rPr>
          <t xml:space="preserve">“Lower Carbon Power” includes renewable energy sources used to generate electricity. A user should enter electricity generated per year.
</t>
        </r>
      </text>
    </comment>
    <comment ref="B35" authorId="1" shapeId="0" xr:uid="{D9DE2073-9AD6-4B50-BEAB-C9F1EE6F0F35}">
      <text>
        <r>
          <rPr>
            <sz val="9"/>
            <color indexed="81"/>
            <rFont val="Tahoma"/>
            <family val="2"/>
          </rPr>
          <t>Source for Chevron 2023 Information: Internal Analysis by Chevron, EIA data in Form 923 for Casper Wind Farm not available at time of publication.</t>
        </r>
      </text>
    </comment>
    <comment ref="B36" authorId="1" shapeId="0" xr:uid="{2389CDEA-2FD8-4AA9-B2C3-E35C5F6EA0A4}">
      <text>
        <r>
          <rPr>
            <sz val="9"/>
            <color indexed="81"/>
            <rFont val="Tahoma"/>
            <family val="2"/>
          </rPr>
          <t>Sources for Chevron 2023 Information: Internal Analysis by Chevron, EIA data in Form 923 for Questa Solar Facility not available at time of publication.</t>
        </r>
      </text>
    </comment>
    <comment ref="B37" authorId="1" shapeId="0" xr:uid="{832F084E-C4F7-4B47-9C64-4C8351AE5439}">
      <text>
        <r>
          <rPr>
            <sz val="9"/>
            <color indexed="81"/>
            <rFont val="Tahoma"/>
            <family val="2"/>
          </rPr>
          <t>Source: Not applicable.</t>
        </r>
      </text>
    </comment>
    <comment ref="B38" authorId="0" shapeId="0" xr:uid="{7BFF3E53-9E24-4E37-8567-FF802D44DD08}">
      <text>
        <r>
          <rPr>
            <sz val="9"/>
            <color indexed="81"/>
            <rFont val="Tahoma"/>
            <family val="2"/>
          </rPr>
          <t xml:space="preserve">“Carbon Sinks” are projects that store or offset carbon dioxide emissions. A user can enter total annual project volumes.
</t>
        </r>
      </text>
    </comment>
    <comment ref="B39" authorId="1" shapeId="0" xr:uid="{52E468DC-B2E0-469D-A932-3C10B3709278}">
      <text>
        <r>
          <rPr>
            <sz val="11"/>
            <color theme="1"/>
            <rFont val="Calibri"/>
            <family val="2"/>
            <scheme val="minor"/>
          </rPr>
          <t>CCUS = Carbon Capture, Utilization, and Storage
Source: Not applicable.</t>
        </r>
      </text>
    </comment>
    <comment ref="B40" authorId="1" shapeId="0" xr:uid="{F37A4D60-23D0-43B9-A6BE-872897EC1C2D}">
      <text>
        <r>
          <rPr>
            <sz val="11"/>
            <color theme="1"/>
            <rFont val="Calibri"/>
            <family val="2"/>
            <scheme val="minor"/>
          </rPr>
          <t>Source for Chevron 2023 Information: 2023 Performance Data (pg. 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Aisha</author>
    <author>Hasenkampf, Madi</author>
    <author>Pettie, Liz</author>
  </authors>
  <commentList>
    <comment ref="B5" authorId="0" shapeId="0" xr:uid="{C520B21E-4241-4131-834F-3377059343CA}">
      <text>
        <r>
          <rPr>
            <b/>
            <u/>
            <sz val="9"/>
            <color indexed="81"/>
            <rFont val="Tahoma"/>
            <family val="2"/>
          </rPr>
          <t>Abbreviations</t>
        </r>
        <r>
          <rPr>
            <b/>
            <sz val="9"/>
            <color indexed="81"/>
            <rFont val="Tahoma"/>
            <family val="2"/>
          </rPr>
          <t xml:space="preserve">
</t>
        </r>
        <r>
          <rPr>
            <sz val="9"/>
            <color indexed="81"/>
            <rFont val="Tahoma"/>
            <family val="2"/>
          </rPr>
          <t>API - American Petroleum Institute
BBL - barrel
BOE - barrel oil equivalent
BTU - British thermal units
CARB - California Air Resources Board
CCUS - carbon capture, utilization, and storage
EIA - Energy Information Administration (United States)
gCO2e - gram carbon dioxide equivalents
GHG - greenhouse gas
GREET - Greenhouse gases, Regulated Emissions, and Energy use in Technologies is a full life-cycle model sponsored by the Argonne National Laboratory
HHV - Higher heating value
IEA - International Energy Agency
kg H2 - kilogram hydrogen
kgCO2e - kilogram carbon dioxide equivalents
km - kilometers
kWh - kilowatt-hour
lb - pound
LCFS - Low Carbon Fuel Standard
LHV - lower heating value
LNG - liquified natural gas
MBBL - thousand barrels
MBOE - thousand barrel oil equivalent
MJ - megajoule
MMBTU - million British thermal units
MMCF - million cubic feet
MMT H2 - million metric ton hydrogen delivered
MMTCO2e - million metric ton carbon dioxide equivalents
MMTJ - million terajoule
MCF - thousand cubic feet
MWh - megawatt-hour
NGL - natural gas liquids
NREL - National Renewable Energy Laboratory
PCI - portfolio carbon intensity
RNG - Renewable Natural Gas
SAF - Sustainable Aviation Fuel
SMR - steam methane reforming
tCO2e - metric ton carbon dioxide equivalents
TJ - terajoule
WEO - World Energy Outlook
Yr - year</t>
        </r>
      </text>
    </comment>
    <comment ref="C77" authorId="1" shapeId="0" xr:uid="{2D926B2D-78C7-48E9-8EDC-DD90CB19EDE5}">
      <text>
        <r>
          <rPr>
            <sz val="11"/>
            <color indexed="81"/>
            <rFont val="Calibri"/>
            <family val="2"/>
            <scheme val="minor"/>
          </rPr>
          <t>In API Compendium (2021), Table 4-3 uses Motor Gasoline (Petrol) and Table 3-8 and Table 4-6 use Motor Gasoline</t>
        </r>
      </text>
    </comment>
    <comment ref="C78" authorId="1" shapeId="0" xr:uid="{0EC096F4-BEF3-469A-BBEF-469D450B7CE2}">
      <text>
        <r>
          <rPr>
            <sz val="11"/>
            <color indexed="81"/>
            <rFont val="Calibri"/>
            <family val="2"/>
            <scheme val="minor"/>
          </rPr>
          <t>In API Compendium (2021), Table 3-8 uses Distillate Oil (Diesel), Table 4-3 uses Gas/Diesel Oil, and Table 4-6 uses Other Oil (&gt;401 deg F)</t>
        </r>
      </text>
    </comment>
    <comment ref="C79" authorId="1" shapeId="0" xr:uid="{6A0D71B2-9A92-42C9-B4A4-D85F68A41A65}">
      <text>
        <r>
          <rPr>
            <sz val="11"/>
            <color indexed="81"/>
            <rFont val="Calibri"/>
            <family val="2"/>
            <scheme val="minor"/>
          </rPr>
          <t>In API Compendium (2021), Table 3-8 and Table 4-3 use Jet Fuel and Table 4-6 uses Jet Gasoline</t>
        </r>
      </text>
    </comment>
    <comment ref="C80" authorId="1" shapeId="0" xr:uid="{887B38D8-1D14-43E8-9A41-D827661B4D57}">
      <text>
        <r>
          <rPr>
            <sz val="11"/>
            <color indexed="81"/>
            <rFont val="Calibri"/>
            <family val="2"/>
            <scheme val="minor"/>
          </rPr>
          <t>In API Compendium (2021), Table 3-8 and Table 4-3 uses Residual Oil #6 and Table 4-6 uses Residual Fuel Oil</t>
        </r>
      </text>
    </comment>
    <comment ref="C81" authorId="2" shapeId="0" xr:uid="{4F9645FB-A8CD-402C-B221-2A4919806E28}">
      <text>
        <r>
          <rPr>
            <sz val="11"/>
            <color theme="1"/>
            <rFont val="Calibri"/>
            <family val="2"/>
            <scheme val="minor"/>
          </rPr>
          <t>In API Compendium (2021), Table 3-8 and Table 4-3 use Miscellaneous Product and Table 4-6 uses Other Oil (&gt;401 deg 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Aisha</author>
  </authors>
  <commentList>
    <comment ref="B3" authorId="0" shapeId="0" xr:uid="{2AFB9F5A-3016-44CE-8DD8-D3D36E0168EC}">
      <text>
        <r>
          <rPr>
            <sz val="11"/>
            <color theme="1"/>
            <rFont val="Calibri"/>
            <family val="2"/>
            <scheme val="minor"/>
          </rPr>
          <t>Abbreviations
API - American Petroleum Institute
BBL - barrel
BOE - barrel oil equivalent
BTU - British thermal units
CARB - California Air Resources Board
CCUS - carbon capture, utilization, and storage
EIA - Energy Information Administration (United States)
gCO2e - gram carbon dioxide equivalents
GHG - greenhouse gas
GREET - Greenhouse gases, Regulated Emissions, and Energy use in Technologies is a full life-cycle model developed by the Argonne National Laboratory
HHV - Higher heating value
IEA - International Energy Agency
kg H2 - kilogram hydrogen
kgCO2e - kilogram carbon dioxide equivalents
km - kilometers
kWh - kilowatt-hour
lb - pound
LCFS - Low Carbon Fuel Standard
LHV - lower heating value
LNG - liquified natural gas
MBBL - thousand barrels
MBOE - thousand barrel oil equivalent
MJ - megajoule
MMBTU - million British thermal units
MMCF - million cubic feet
MMT H2 - million metric ton hydrogen delivered
MMTCO2e - million metric ton carbon dioxide equivalents
MMTJ - million terajoule
MCF - thousand cubic feet
MWh - megawatt-hour
NGL - natural gas liquids
NREL - National Renewable Energy Laboratory
PCI - portfolio carbon intensity
RNG - Renewable Natural Gas
SAF - Sustainable Aviation Fuel
SMR - steam methane reforming
tCO2e - metric ton carbon dioxide equivalents
TJ - terajoule
WEO - World Energy Outlook
Yr - year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Aisha</author>
  </authors>
  <commentList>
    <comment ref="B3" authorId="0" shapeId="0" xr:uid="{2B797594-34E1-43A1-AFB3-2F9C866DB900}">
      <text>
        <r>
          <rPr>
            <sz val="11"/>
            <color theme="1"/>
            <rFont val="Calibri"/>
            <family val="2"/>
            <scheme val="minor"/>
          </rPr>
          <t>Abbreviations
API - American Petroleum Institute
BBL - barrel
BOE - barrel oil equivalent
BTU - British thermal units
CARB - California Air Resources Board
CCUS - carbon capture, utilization, and storage
EIA - Energy Information Administration (United States)
gCO2e - gram carbon dioxide equivalents
GHG - greenhouse gas
GREET - Greenhouse gases, Regulated Emissions, and Energy use in Technologies is a full life-cycle model developed by the Argonne National Laboratory
HHV - Higher heating value
IEA - International Energy Agency
kg H2 - kilogram hydrogen
kgCO2e - kilogram carbon dioxide equivalents
km - kilometers
kWh - kilowatt-hour
lb - pound
LCFS - Low Carbon Fuel Standard
LHV - lower heating value
LNG - liquified natural gas
MBBL - thousand barrels
MBOE - thousand barrel oil equivalent
MJ - megajoule
MMBTU - million British thermal units
MMCF - million cubic feet
MMT H2 - million metric ton hydrogen delivered
MMTCO2e - million metric ton carbon dioxide equivalents
MMTJ - million terajoule
MCF - thousand cubic feet
MWh - megawatt-hour
NGL - natural gas liquids
NREL - National Renewable Energy Laboratory
PCI - portfolio carbon intensity
RNG - Renewable Natural Gas
SAF - Sustainable Aviation Fuel
SMR - steam methane reforming
tCO2e - metric ton carbon dioxide equivalents
TJ - terajoule
WEO - World Energy Outlook
Yr - year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Aisha</author>
  </authors>
  <commentList>
    <comment ref="B3" authorId="0" shapeId="0" xr:uid="{BB71CD69-68CD-4A69-BDB0-6776354FE7A0}">
      <text>
        <r>
          <rPr>
            <sz val="11"/>
            <color theme="1"/>
            <rFont val="Calibri"/>
            <family val="2"/>
            <scheme val="minor"/>
          </rPr>
          <t>Abbreviations
API - American Petroleum Institute
BBL - barrel
BOE - barrel oil equivalent
BTU - British thermal units
CARB - California Air Resources Board
CCUS - carbon capture, utilization, and storage
EIA - Energy Information Administration (United States)
gCO2e - gram carbon dioxide equivalents
GHG - greenhouse gas
GREET - Greenhouse gases, Regulated Emissions, and Energy use in Technologies is a full life-cycle model developed by the Argonne National Laboratory
HHV - Higher heating value
IEA - International Energy Agency
kg H2 - kilogram hydrogen
kgCO2e - kilogram carbon dioxide equivalents
km - kilometers
kWh - kilowatt-hour
lb - pound
LCFS - Low Carbon Fuel Standard
LHV - lower heating value
LNG - liquified natural gas
MBBL - thousand barrels
MBOE - thousand barrel oil equivalent
MJ - megajoule
MMBTU - million British thermal units
MMCF - million cubic feet
MMT H2 - million metric ton hydrogen delivered
MMTCO2e - million metric ton carbon dioxide equivalents
MMTJ - million terajoule
MCF - thousand cubic feet
MWh - megawatt-hour
NGL - natural gas liquids
NREL - National Renewable Energy Laboratory
PCI - portfolio carbon intensity
RNG - Renewable Natural Gas
SAF - Sustainable Aviation Fuel
SMR - steam methane reforming
tCO2e - metric ton carbon dioxide equivalents
TJ - terajoule
WEO - World Energy Outlook
Yr - year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Aisha</author>
  </authors>
  <commentList>
    <comment ref="B3" authorId="0" shapeId="0" xr:uid="{067CE347-9EE1-4230-AF1B-0D4ABE3E1371}">
      <text>
        <r>
          <rPr>
            <sz val="11"/>
            <color theme="1"/>
            <rFont val="Calibri"/>
            <family val="2"/>
            <scheme val="minor"/>
          </rPr>
          <t>Abbreviations
API - American Petroleum Institute
BBL - barrel
BOE - barrel oil equivalent
BTU - British thermal units
CARB - California Air Resources Board
CCUS - carbon capture, utilization, and storage
EIA - Energy Information Administration (United States)
gCO2e - gram carbon dioxide equivalents
GHG - greenhouse gas
GREET - Greenhouse gases, Regulated Emissions, and Energy use in Technologies is a full life-cycle model developed by the Argonne National Laboratory
HHV - Higher heating value
IEA - International Energy Agency
kg H2 - kilogram hydrogen
kgCO2e - kilogram carbon dioxide equivalents
km - kilometers
kWh - kilowatt-hour
lb - pound
LCFS - Low Carbon Fuel Standard
LHV - lower heating value
LNG - liquified natural gas
MBBL - thousand barrels
MBOE - thousand barrel oil equivalent
MJ - megajoule
MMBTU - million British thermal units
MMCF - million cubic feet
MMT H2 - million metric ton hydrogen delivered
MMTCO2e - million metric ton carbon dioxide equivalents
MMTJ - million terajoule
MCF - thousand cubic feet
MWh - megawatt-hour
NGL - natural gas liquids
NREL - National Renewable Energy Laboratory
PCI - portfolio carbon intensity
RNG - Renewable Natural Gas
SAF - Sustainable Aviation Fuel
SMR - steam methane reforming
tCO2e - metric ton carbon dioxide equivalents
TJ - terajoule
WEO - World Energy Outlook
Yr - year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Aisha</author>
  </authors>
  <commentList>
    <comment ref="B3" authorId="0" shapeId="0" xr:uid="{4CD422D6-EFFC-41B6-A901-05D5CB338171}">
      <text>
        <r>
          <rPr>
            <sz val="11"/>
            <color theme="1"/>
            <rFont val="Calibri"/>
            <family val="2"/>
            <scheme val="minor"/>
          </rPr>
          <t>Abbreviations
API - American Petroleum Institute
BBL - barrel
BOE - barrel oil equivalent
BTU - British thermal units
CARB - California Air Resources Board
CCUS - carbon capture, utilization, and storage
EIA - Energy Information Administration (United States)
gCO2e - gram carbon dioxide equivalents
GHG - greenhouse gas
GREET - Greenhouse gases, Regulated Emissions, and Energy use in Technologies is a full life-cycle model developed by the Argonne National Laboratory
HHV - Higher heating value
IEA - International Energy Agency
kg H2 - kilogram hydrogen
kgCO2e - kilogram carbon dioxide equivalents
km - kilometers
kWh - kilowatt-hour
lb - pound
LCFS - Low Carbon Fuel Standard
LHV - lower heating value
LNG - liquified natural gas
MBBL - thousand barrels
MBOE - thousand barrel oil equivalent
MJ - megajoule
MMBTU - million British thermal units
MMCF - million cubic feet
MMT H2 - million metric ton hydrogen delivered
MMTCO2e - million metric ton carbon dioxide equivalents
MMTJ - million terajoule
MCF - thousand cubic feet
MWh - megawatt-hour
NGL - natural gas liquids
NREL - National Renewable Energy Laboratory
PCI - portfolio carbon intensity
RNG - Renewable Natural Gas
SAF - Sustainable Aviation Fuel
SMR - steam methane reforming
tCO2e - metric ton carbon dioxide equivalents
TJ - terajoule
WEO - World Energy Outlook
Yr - year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Aisha</author>
  </authors>
  <commentList>
    <comment ref="B3" authorId="0" shapeId="0" xr:uid="{5AF7A982-9855-4FF6-8AFB-03E414BC6378}">
      <text>
        <r>
          <rPr>
            <sz val="11"/>
            <color theme="1"/>
            <rFont val="Calibri"/>
            <family val="2"/>
            <scheme val="minor"/>
          </rPr>
          <t>Abbreviations
API - American Petroleum Institute
BBL - barrel
BOE - barrel oil equivalent
BTU - British thermal units
CARB - California Air Resources Board
CCUS - carbon capture, utilization, and storage
EIA - Energy Information Administration (United States)
gCO2e - gram carbon dioxide equivalents
GHG - greenhouse gas
GREET - Greenhouse gases, Regulated Emissions, and Energy use in Technologies is a full life-cycle model developed by the Argonne National Laboratory
HHV - Higher heating value
IEA - International Energy Agency
kg H2 - kilogram hydrogen
kgCO2e - kilogram carbon dioxide equivalents
km - kilometers
kWh - kilowatt-hour
lb - pound
LCFS - Low Carbon Fuel Standard
LHV - lower heating value
LNG - liquified natural gas
MBBL - thousand barrels
MBOE - thousand barrel oil equivalent
MJ - megajoule
MMBTU - million British thermal units
MMCF - million cubic feet
MMT H2 - million metric ton hydrogen delivered
MMTCO2e - million metric ton carbon dioxide equivalents
MMTJ - million terajoule
MCF - thousand cubic feet
MWh - megawatt-hour
NGL - natural gas liquids
NREL - National Renewable Energy Laboratory
PCI - portfolio carbon intensity
RNG - Renewable Natural Gas
SAF - Sustainable Aviation Fuel
SMR - steam methane reforming
tCO2e - metric ton carbon dioxide equivalents
TJ - terajoule
WEO - World Energy Outlook
Yr - year</t>
        </r>
      </text>
    </comment>
  </commentList>
</comments>
</file>

<file path=xl/sharedStrings.xml><?xml version="1.0" encoding="utf-8"?>
<sst xmlns="http://schemas.openxmlformats.org/spreadsheetml/2006/main" count="818" uniqueCount="517">
  <si>
    <t>Source (Temporary)</t>
  </si>
  <si>
    <t>https://impactful.ninja/why-reducing-your-carbon-footprint-is-important/#:~:text=depends%20on%20it.-,Reducing%20your%20carbon%20footprint%20is%20important%20because%20it%20mitigates%20the,for%20generations%20yet%20to%20come.</t>
  </si>
  <si>
    <t>https://www.chevron.com/-/media/chevron/sustainability/documents/2021-climate-change-resilience-report.pdf</t>
  </si>
  <si>
    <t>Education</t>
  </si>
  <si>
    <t>Frequently Asked Questions</t>
  </si>
  <si>
    <t>Topic / Category</t>
  </si>
  <si>
    <t>Q&amp;A</t>
  </si>
  <si>
    <t>Scope</t>
  </si>
  <si>
    <t>What is the PCI?</t>
  </si>
  <si>
    <t>Chevron's portfolio carbon intensity (PCI) metric represents carbon intensity across the full value chain associated with bringing energy products to market and includes Scope 3 emissions from the use of products. The calculation includes estimated energy weighted average greenhouse gas (GHG) emissions intensity from a simplified value chain from the production, refinement, distribution and end use of marketed energy products per unit of energy delivered.</t>
  </si>
  <si>
    <t xml:space="preserve">What emissions are included? </t>
  </si>
  <si>
    <t xml:space="preserve">The PCI metric includes Scope 1, 2 and 3 greenhouse gas (GHG) emissions, including Scope 3 emissions based on Category 11 - Use of Sold Products.
Scope 1 includes direct GHG emissions from assets owned and/or operated by the reporting company. Scope 2 includes indirect GHG emissions from imported electricity, heat or steam purchased by the reporting company. Scope 3 includes other indirect emissions from activities outside the Scope 1 and 2 reporting boundaries. The Portfolio Carbon Intensity metric includes emissions associated with customers’ use of the products sold by the reporting company (Scope 3 Category 11). </t>
  </si>
  <si>
    <t>What does "across the full value chain" mean?</t>
  </si>
  <si>
    <t>The PCI metric intends to estimate value chain emissions associated with the maximum hydrocarbon product volume of a company among its production, transportation, refining, and marketing activities. This approach allows for the metric to be broadly applicable to oil and gas companies involved in one or more of these activities and provides a framework for transparent and consistent comparisons of companies that may participate in different parts of the value chain or have different mixes of energy products. 
For all products that a company produces or refines, the PCI methodology uses the company’s equity GHG emissions and corresponding GHG intensity. To estimate the emissions for marketed products that the company does not produce or refine, the PCI methodology uses estimated industry-average segment factors or emission factors.</t>
  </si>
  <si>
    <t>Does the PCI cover all of Chevron's operations?</t>
  </si>
  <si>
    <t>Methodology</t>
  </si>
  <si>
    <t>Why does Chevron use an intensity measure instead of an absolute emissions measure?</t>
  </si>
  <si>
    <t>How are biofuels included?</t>
  </si>
  <si>
    <t>How are offsets included?</t>
  </si>
  <si>
    <t>Offsets that are retired by Chevron or on behalf of customers for the use of our products are deducted from the total emissions in the metric. Includes offsets retired in compliance programs. For programs with multiyear compliance periods, offsets are reported in the calendar year they are retired.</t>
  </si>
  <si>
    <t>Where do the conversion factors for emissions and energy content come from?</t>
  </si>
  <si>
    <t>Conversion factors for energy content and emissions factors come from our internal analysis of our own production and biofuels purchases, industry reports, governmental research centers, and intergovernmental organizations. See the Factors tab for additional details.</t>
  </si>
  <si>
    <t>What are LHV vs HHV? And why does Chevron use HHV for the PCI calculation?</t>
  </si>
  <si>
    <t>How often is the PCI updated?</t>
  </si>
  <si>
    <t xml:space="preserve">Chevron's PCI metric is published annually as part of the Performance Data Tables in Chevron's Sustainability Report. </t>
  </si>
  <si>
    <t>Assurance</t>
  </si>
  <si>
    <t>Are the calculation and/or GHG emissions inventories externally verified?</t>
  </si>
  <si>
    <t>Yes, Chevron has received independent third-party assurance for our 2023 GHG emissions from Scope 1, Scope 2, and Scope 3 (Category 11 - Use of Sold Products) on an equity share and operational control basis, and for various performance metrics, including the PCI specifically. The verification was conducted by DNV Business Assurance USA, Inc. (DNV), an international, independent assurance and risk management provider, to a reasonable level of assurance for the 2023 reporting year. The verification protocol utilized Chevron’s GHG Reporting Protocol, v8.0 which takes into consideration key elements of the following: International Organization for Standardization’s (ISO) “ISO 14064-1, Greenhouse gases – Part 1: Specification with guidance at the organization level for quantification and reporting of greenhouse gas emissions and removals – Second edition” (2018); IPIECA’s “Petroleum industry guidelines for reporting greenhouse gas emissions – Second edition” (2011); World Business Council for Sustainable Development’s (WBCSD)/World Resources Institute’s (WRI) “The Greenhouse Gas Protocol, A corporate accounting and reporting standard - Revised edition” (2004); and WRI’s “GHG Protocol Scope 2 Guidance, An amendment to the GHG Protocol corporate standard” (2015).</t>
  </si>
  <si>
    <t>Click to link to Chevron's latest GHG Assurance Statement</t>
  </si>
  <si>
    <t>User Guide</t>
  </si>
  <si>
    <t>Basic Instructions</t>
  </si>
  <si>
    <t>Users should input annual volume and emission intensity information for a company in the yellow cells on the "Dashboard" tab.</t>
  </si>
  <si>
    <t>Blue tab summarizes the result calculations for the Portfolio Carbon Intensity (PCI).</t>
  </si>
  <si>
    <t>Green tabs are the calculation tabs that outline the calculation methods for categories of energy delivered.</t>
  </si>
  <si>
    <t>Advanced Instructions</t>
  </si>
  <si>
    <t xml:space="preserve">Users that wish to use custom (non-default) factors would need to deselect the box in the "Factors" tab and edit columns F and G and rows 83 to 87 for custom factors and sources. </t>
  </si>
  <si>
    <t xml:space="preserve">If corporate disclosure only includes total refined products, or if operator does not market refined products, the "Refined Products - Alt Calc" tab provides the ability to estimate breakdown of refined products. </t>
  </si>
  <si>
    <t>Improvements over time</t>
  </si>
  <si>
    <t xml:space="preserve">Methodologies and emissions factors may be updated in future years to reflect additional information or data that become available. </t>
  </si>
  <si>
    <t>For example, updates may include updated industry averages, primary data from third party producers/refiners and adjustments to energy efficiency assumptions,</t>
  </si>
  <si>
    <t>if warranted, based on the end-use applications for volumes of energy marketed by the company.</t>
  </si>
  <si>
    <t xml:space="preserve">Version </t>
  </si>
  <si>
    <t>Version Date</t>
  </si>
  <si>
    <t>Version Notes</t>
  </si>
  <si>
    <t>V1.0</t>
  </si>
  <si>
    <t xml:space="preserve">Initial release </t>
  </si>
  <si>
    <t>V2.0</t>
  </si>
  <si>
    <t>Version 2.0 incorporates updates to emission factors for 1 item and updates to support portfolio carbon intensity calculation for a wider range of energy companies.</t>
  </si>
  <si>
    <t>V3.0</t>
  </si>
  <si>
    <t>V4.0</t>
  </si>
  <si>
    <t xml:space="preserve">Version 4.0 incorporates updates to conversion factors, reflecting updates in external publications, and select other items. </t>
  </si>
  <si>
    <t>V5.0</t>
  </si>
  <si>
    <t>Abbreviations</t>
  </si>
  <si>
    <t>Abbreviation</t>
  </si>
  <si>
    <t>Description</t>
  </si>
  <si>
    <t>API</t>
  </si>
  <si>
    <t>American Petroleum Institute</t>
  </si>
  <si>
    <t>BBL</t>
  </si>
  <si>
    <t>barrel</t>
  </si>
  <si>
    <t>BOE</t>
  </si>
  <si>
    <t>barrel oil equivalent</t>
  </si>
  <si>
    <t>BTU</t>
  </si>
  <si>
    <t>British thermal units</t>
  </si>
  <si>
    <t>CARB</t>
  </si>
  <si>
    <t>California Air Resources Board</t>
  </si>
  <si>
    <t>CCUS</t>
  </si>
  <si>
    <t>carbon capture, utilization, and storage</t>
  </si>
  <si>
    <t>CCS</t>
  </si>
  <si>
    <t>carbon capture and storage</t>
  </si>
  <si>
    <t>EIA</t>
  </si>
  <si>
    <t>Energy Information Administration (United States)</t>
  </si>
  <si>
    <r>
      <t>gCO</t>
    </r>
    <r>
      <rPr>
        <vertAlign val="subscript"/>
        <sz val="10"/>
        <color theme="1"/>
        <rFont val="Arial"/>
        <family val="2"/>
      </rPr>
      <t>2</t>
    </r>
    <r>
      <rPr>
        <sz val="10"/>
        <color theme="1"/>
        <rFont val="Arial"/>
        <family val="2"/>
      </rPr>
      <t>e</t>
    </r>
  </si>
  <si>
    <t>gram carbon dioxide equivalents</t>
  </si>
  <si>
    <t>GHG</t>
  </si>
  <si>
    <t>greenhouse gas</t>
  </si>
  <si>
    <t>GREET</t>
  </si>
  <si>
    <t>Greenhouse gases, Regulated Emissions, and Energy use in Technologies is a full life-cycle model developed by the Argonne National Laboratory</t>
  </si>
  <si>
    <t>HHV</t>
  </si>
  <si>
    <t>Higher heating value</t>
  </si>
  <si>
    <t>IEA</t>
  </si>
  <si>
    <t>International Energy Agency</t>
  </si>
  <si>
    <r>
      <t>kg H</t>
    </r>
    <r>
      <rPr>
        <vertAlign val="subscript"/>
        <sz val="10"/>
        <color theme="1"/>
        <rFont val="Arial"/>
        <family val="2"/>
      </rPr>
      <t>2</t>
    </r>
  </si>
  <si>
    <t>kilogram hydrogen</t>
  </si>
  <si>
    <r>
      <t>kgCO</t>
    </r>
    <r>
      <rPr>
        <vertAlign val="subscript"/>
        <sz val="10"/>
        <color theme="1"/>
        <rFont val="Arial"/>
        <family val="2"/>
      </rPr>
      <t>2</t>
    </r>
    <r>
      <rPr>
        <sz val="10"/>
        <color theme="1"/>
        <rFont val="Arial"/>
        <family val="2"/>
      </rPr>
      <t>e</t>
    </r>
  </si>
  <si>
    <t>kilogram carbon dioxide equivalents</t>
  </si>
  <si>
    <t>km</t>
  </si>
  <si>
    <t>kilometers</t>
  </si>
  <si>
    <t>kWh</t>
  </si>
  <si>
    <t>kilowatt-hour</t>
  </si>
  <si>
    <t>lb</t>
  </si>
  <si>
    <t>pound</t>
  </si>
  <si>
    <t>LCFS</t>
  </si>
  <si>
    <t>Low Carbon Fuel Standard</t>
  </si>
  <si>
    <t>LHV</t>
  </si>
  <si>
    <t>lower heating value</t>
  </si>
  <si>
    <t>LNG</t>
  </si>
  <si>
    <t>liquified natural gas</t>
  </si>
  <si>
    <t>LPG</t>
  </si>
  <si>
    <t>liquified petroleum gas</t>
  </si>
  <si>
    <t>MBBL</t>
  </si>
  <si>
    <t>thousand barrels</t>
  </si>
  <si>
    <t>MBOE</t>
  </si>
  <si>
    <t>thousand barrel oil equivalent</t>
  </si>
  <si>
    <t>MJ</t>
  </si>
  <si>
    <t>megajoule</t>
  </si>
  <si>
    <t>MMBTU</t>
  </si>
  <si>
    <t>million British thermal units</t>
  </si>
  <si>
    <t>MMCF</t>
  </si>
  <si>
    <t>million cubic feet</t>
  </si>
  <si>
    <r>
      <t>MMT H</t>
    </r>
    <r>
      <rPr>
        <vertAlign val="subscript"/>
        <sz val="10"/>
        <color theme="1"/>
        <rFont val="Arial"/>
        <family val="2"/>
      </rPr>
      <t>2</t>
    </r>
  </si>
  <si>
    <t>million metric ton hydrogen delivered</t>
  </si>
  <si>
    <t>MMTCO2e</t>
  </si>
  <si>
    <t>million metric ton carbon dioxide equivalents</t>
  </si>
  <si>
    <t>MMTJ</t>
  </si>
  <si>
    <t>million terajoule</t>
  </si>
  <si>
    <t>MCF</t>
  </si>
  <si>
    <t>thousand cubic feet</t>
  </si>
  <si>
    <t>MWh</t>
  </si>
  <si>
    <t>megawatt-hour</t>
  </si>
  <si>
    <t>NGL</t>
  </si>
  <si>
    <t>natural gas liquids</t>
  </si>
  <si>
    <t>NREL</t>
  </si>
  <si>
    <t>National Renewable Energy Laboratory</t>
  </si>
  <si>
    <t>PCI</t>
  </si>
  <si>
    <t>portfolio carbon intensity</t>
  </si>
  <si>
    <t>RNG</t>
  </si>
  <si>
    <t>Renewable Natural Gas</t>
  </si>
  <si>
    <t>SAF</t>
  </si>
  <si>
    <t>Sustainable Aviation Fuel</t>
  </si>
  <si>
    <t>SMR</t>
  </si>
  <si>
    <t>steam methane reforming</t>
  </si>
  <si>
    <r>
      <t>tCO</t>
    </r>
    <r>
      <rPr>
        <vertAlign val="subscript"/>
        <sz val="10"/>
        <color theme="1"/>
        <rFont val="Arial"/>
        <family val="2"/>
      </rPr>
      <t>2</t>
    </r>
    <r>
      <rPr>
        <sz val="10"/>
        <color theme="1"/>
        <rFont val="Arial"/>
        <family val="2"/>
      </rPr>
      <t>e</t>
    </r>
  </si>
  <si>
    <t>metric ton carbon dioxide equivalents</t>
  </si>
  <si>
    <t>TJ</t>
  </si>
  <si>
    <t>terajoule</t>
  </si>
  <si>
    <t>WEO</t>
  </si>
  <si>
    <t>World Energy Outlook</t>
  </si>
  <si>
    <t>yr</t>
  </si>
  <si>
    <t>year</t>
  </si>
  <si>
    <t>Check Box to use Chevron Default Factors.</t>
  </si>
  <si>
    <t>PCI, HHV Basis</t>
  </si>
  <si>
    <t>Sensitivity, LHV Basis</t>
  </si>
  <si>
    <t>Note: Source information for Chevron 2023 data is listed in a note for each category / input.</t>
  </si>
  <si>
    <t>Hover over each category / input description to view details.</t>
  </si>
  <si>
    <t>Category / Input Description</t>
  </si>
  <si>
    <t>Input Data</t>
  </si>
  <si>
    <t>Units</t>
  </si>
  <si>
    <t>Oil and Gas - Upstream</t>
  </si>
  <si>
    <t>Net Crude Oil and Natural Gas Liquids Production</t>
  </si>
  <si>
    <t>MBBL/day</t>
  </si>
  <si>
    <t>Energy Product</t>
  </si>
  <si>
    <t>Energy Delivered (MMTJ/yr)</t>
  </si>
  <si>
    <r>
      <t>Estimated Value Chain Emissions (MMT CO</t>
    </r>
    <r>
      <rPr>
        <i/>
        <vertAlign val="subscript"/>
        <sz val="10"/>
        <color theme="1"/>
        <rFont val="Arial"/>
        <family val="2"/>
      </rPr>
      <t>2</t>
    </r>
    <r>
      <rPr>
        <i/>
        <sz val="10"/>
        <color theme="1"/>
        <rFont val="Arial"/>
        <family val="2"/>
      </rPr>
      <t>e/yr)</t>
    </r>
  </si>
  <si>
    <r>
      <t>Energy Category Footprint (gCO</t>
    </r>
    <r>
      <rPr>
        <i/>
        <vertAlign val="subscript"/>
        <sz val="10"/>
        <color theme="1"/>
        <rFont val="Arial"/>
        <family val="2"/>
      </rPr>
      <t>2</t>
    </r>
    <r>
      <rPr>
        <i/>
        <sz val="10"/>
        <color theme="1"/>
        <rFont val="Arial"/>
        <family val="2"/>
      </rPr>
      <t>e/MJ)</t>
    </r>
  </si>
  <si>
    <t>Net Natural Gas Production</t>
  </si>
  <si>
    <t>MMCF/day</t>
  </si>
  <si>
    <t xml:space="preserve">Natural Gas Consumed in Operations </t>
  </si>
  <si>
    <t>Equity GHG Intensity - Gas and LNG</t>
  </si>
  <si>
    <r>
      <t>kg CO</t>
    </r>
    <r>
      <rPr>
        <vertAlign val="subscript"/>
        <sz val="10"/>
        <color theme="1"/>
        <rFont val="Arial"/>
        <family val="2"/>
      </rPr>
      <t>2</t>
    </r>
    <r>
      <rPr>
        <sz val="10"/>
        <color theme="1"/>
        <rFont val="Arial"/>
        <family val="2"/>
      </rPr>
      <t>e/BOE</t>
    </r>
  </si>
  <si>
    <t>Equity GHG Intensity - Oil</t>
  </si>
  <si>
    <t>Oil and Refined Products</t>
  </si>
  <si>
    <t>Oil and Gas - Downstream</t>
  </si>
  <si>
    <t>Natural Gas and LNG</t>
  </si>
  <si>
    <t xml:space="preserve">Refinery Crude Oil Input </t>
  </si>
  <si>
    <t>Natural Gas Liquids</t>
  </si>
  <si>
    <t>Equity Refinery GHG Intensity</t>
  </si>
  <si>
    <t>kg CO2e/BOE</t>
  </si>
  <si>
    <t>Biofuels</t>
  </si>
  <si>
    <r>
      <t>Oil - Marketing</t>
    </r>
    <r>
      <rPr>
        <sz val="10"/>
        <color theme="1"/>
        <rFont val="Arial"/>
        <family val="2"/>
      </rPr>
      <t xml:space="preserve"> </t>
    </r>
    <r>
      <rPr>
        <b/>
        <sz val="10"/>
        <color theme="1"/>
        <rFont val="Arial"/>
        <family val="2"/>
      </rPr>
      <t xml:space="preserve">      </t>
    </r>
    <r>
      <rPr>
        <b/>
        <i/>
        <sz val="10"/>
        <color rgb="FF002060"/>
        <rFont val="Arial"/>
        <family val="2"/>
      </rPr>
      <t xml:space="preserve">  </t>
    </r>
    <r>
      <rPr>
        <i/>
        <sz val="10"/>
        <color rgb="FF002060"/>
        <rFont val="Arial"/>
        <family val="2"/>
      </rPr>
      <t>Click       for Alternate Calculation.</t>
    </r>
  </si>
  <si>
    <t>Hydrogen</t>
  </si>
  <si>
    <t>Gasoline</t>
  </si>
  <si>
    <t>Lower Carbon Power</t>
  </si>
  <si>
    <t>Diesel</t>
  </si>
  <si>
    <t>Carbon Sinks</t>
  </si>
  <si>
    <t>Jet Fuel</t>
  </si>
  <si>
    <t>Residual Fuel Oil</t>
  </si>
  <si>
    <t xml:space="preserve">Other Petroleum Products </t>
  </si>
  <si>
    <t>Gas - Marketing</t>
  </si>
  <si>
    <t>Natural Gas</t>
  </si>
  <si>
    <t>Upstream Natural Gas Liquids</t>
  </si>
  <si>
    <t>Downstream Natural Gas Liquids</t>
  </si>
  <si>
    <t xml:space="preserve">Third-Party LNG </t>
  </si>
  <si>
    <t>Biofuels - Marketing</t>
  </si>
  <si>
    <t>Includes ethanol, renewable diesel, biodiesel, sustainable aviation fuel, renewable natural gas, renewable LPG, and renewable naphtha</t>
  </si>
  <si>
    <t>MBOE/day</t>
  </si>
  <si>
    <r>
      <t>MMT H</t>
    </r>
    <r>
      <rPr>
        <vertAlign val="subscript"/>
        <sz val="10"/>
        <color theme="1"/>
        <rFont val="Arial"/>
        <family val="2"/>
      </rPr>
      <t>2</t>
    </r>
    <r>
      <rPr>
        <sz val="10"/>
        <color theme="1"/>
        <rFont val="Arial"/>
        <family val="2"/>
      </rPr>
      <t>/yr</t>
    </r>
  </si>
  <si>
    <t>Wind</t>
  </si>
  <si>
    <t>MWh/yr</t>
  </si>
  <si>
    <t>Solar</t>
  </si>
  <si>
    <t>Geothermal</t>
  </si>
  <si>
    <t>Net Equity CCUS</t>
  </si>
  <si>
    <r>
      <t>MMT CO</t>
    </r>
    <r>
      <rPr>
        <vertAlign val="subscript"/>
        <sz val="10"/>
        <color theme="1"/>
        <rFont val="Arial"/>
        <family val="2"/>
      </rPr>
      <t>2</t>
    </r>
    <r>
      <rPr>
        <sz val="10"/>
        <color theme="1"/>
        <rFont val="Arial"/>
        <family val="2"/>
      </rPr>
      <t>e/yr</t>
    </r>
  </si>
  <si>
    <t>Offsets</t>
  </si>
  <si>
    <t>Note for Input Sources:  For users that wish to use the tool to evaluate other companies, general sources where annual input data may be found include but are not limited to company websites, annual reports, company voluntary disclosures (example: Corporate Sustainability Reports)</t>
  </si>
  <si>
    <t xml:space="preserve">Alternative Calculation </t>
  </si>
  <si>
    <t>Use MBBL/day numbers calculated below</t>
  </si>
  <si>
    <t>Enter Refined products amount below and select check box to the right. Data will not update on "Dashboard" tab, but when box is selected, the refined products data from this tab will be used in calculations.</t>
  </si>
  <si>
    <t>Refined Products Module (use if corporate disclosure only includes total refined products, or if operator does not market refined products)</t>
  </si>
  <si>
    <t>Refined Products (MBBL/day)</t>
  </si>
  <si>
    <t>&lt;- Input Total Refined Products Here</t>
  </si>
  <si>
    <t>Product</t>
  </si>
  <si>
    <t>IEA Breakdown of Non-NGL
 Refinery Outputs</t>
  </si>
  <si>
    <t>Other Petroleum Products (naphtha, lubricants, asphalt, coke)</t>
  </si>
  <si>
    <t>Source: IEA global oil demand by product in 2020 (https://iea.blob.core.windows.net/assets/1fa45234-bac5-4d89-a532-768960f99d07/Oil_2021-PDF.pdf)</t>
  </si>
  <si>
    <t>Custom values can be entered into yellow cells.  Uncheck the Check box to use custom values.</t>
  </si>
  <si>
    <t>Hover over this cell to view abbreviations</t>
  </si>
  <si>
    <t>General Conversion Factors</t>
  </si>
  <si>
    <t>Source</t>
  </si>
  <si>
    <t>Custom Source</t>
  </si>
  <si>
    <t>General</t>
  </si>
  <si>
    <t>Days/Year</t>
  </si>
  <si>
    <t>Days in the year (non-leap year)</t>
  </si>
  <si>
    <t>MMBTU/TJ</t>
  </si>
  <si>
    <t>Unit conversion</t>
  </si>
  <si>
    <t>BOE/MJ</t>
  </si>
  <si>
    <t>Unit conversion, API Compendium (2021), Table 3-4</t>
  </si>
  <si>
    <t xml:space="preserve">LHV/HHV, liquid and solid fuels </t>
  </si>
  <si>
    <t>API Compendium  (2021), Table 3-8</t>
  </si>
  <si>
    <t>LHV/HHV, gaseous fuels</t>
  </si>
  <si>
    <t>API Compendium (2021), Table 3-8</t>
  </si>
  <si>
    <t>BBL Refined Products / BBL Refinery Crude Input</t>
  </si>
  <si>
    <r>
      <rPr>
        <sz val="11"/>
        <rFont val="Arial"/>
        <family val="2"/>
      </rPr>
      <t>EIA average processing gain at U.S. refineries, 2022:</t>
    </r>
    <r>
      <rPr>
        <u/>
        <sz val="11"/>
        <color theme="10"/>
        <rFont val="Arial"/>
        <family val="2"/>
      </rPr>
      <t xml:space="preserve"> https://www.eia.gov/energyexplained/oil-and-petroleum-products/refining-crude-oil-inputs-and-outputs.php</t>
    </r>
  </si>
  <si>
    <t>Gas and LNG</t>
  </si>
  <si>
    <t>Natural Gas HHV (MMBTU/MMCF)</t>
  </si>
  <si>
    <r>
      <rPr>
        <sz val="11"/>
        <color rgb="FF000000"/>
        <rFont val="Arial"/>
        <family val="2"/>
      </rPr>
      <t xml:space="preserve">EIA factor based on average value delivered to U.S. consumers in 2021: 
</t>
    </r>
    <r>
      <rPr>
        <u/>
        <sz val="11"/>
        <color rgb="FF0070C0"/>
        <rFont val="Arial"/>
        <family val="2"/>
      </rPr>
      <t>https://www.eia.gov/energyexplained/units-and-calculators/energy-conversion-calculators.php</t>
    </r>
  </si>
  <si>
    <t>Natural Gas LHV (MMBTU/MMCF)</t>
  </si>
  <si>
    <t>LHV assumed to be ~90% of NG HHV above, per note under API Compendium (2021) Table 3-8</t>
  </si>
  <si>
    <t>MCF/BOE</t>
  </si>
  <si>
    <t>NGLs</t>
  </si>
  <si>
    <t>NGL Higher Heating Value (BTU/BBL)</t>
  </si>
  <si>
    <t>API Compendium (2021), Table 3-8 for HHV by NGL component; Chevron internal analysis for generic NGL barrel composition of 42% ethane, 28% propane, 8% n-butane, 9% i-butane, and 13% natural gasoline. Calculation on bottom of "Factors" tab.</t>
  </si>
  <si>
    <t>NGL Lower Heating Value (BTU/BBL)</t>
  </si>
  <si>
    <t>API Compendium (2021), Table 3-8 for LHV by NGL component; Chevron internal analysis for generic NGL barrel composition of 42% ethane, 28% propane, 8% n-butane, 9% i-butane, and 13% natural gasoline. Calculation on bottom of "Factors" tab.</t>
  </si>
  <si>
    <t>Hydrogen higher heating value (BTU/CF)</t>
  </si>
  <si>
    <t>Argonne GREET model 2022</t>
  </si>
  <si>
    <t>Hydrogen density (g/CF)</t>
  </si>
  <si>
    <t>Hydrogen LHV/HHV Ratio</t>
  </si>
  <si>
    <t>MWh/TJ</t>
  </si>
  <si>
    <t>Value Chain Emission Factors</t>
  </si>
  <si>
    <t>Default Chevron Value</t>
  </si>
  <si>
    <t>Custom Value</t>
  </si>
  <si>
    <t>Segment</t>
  </si>
  <si>
    <t>Upstream Third-Party - kgCO2e/BOE Production</t>
  </si>
  <si>
    <t>Chevron internal analysis of IEA World Energy Outlook 2018</t>
  </si>
  <si>
    <t>Refining Third-Party - kgCO2e/BOE Production</t>
  </si>
  <si>
    <t>Transport Equity and Third-Party - kgCO2e/BOE Production</t>
  </si>
  <si>
    <t>Segment and Production Type</t>
  </si>
  <si>
    <t>Upstream and LNG, Own Production - kg CO2e/BOE</t>
  </si>
  <si>
    <t>Input Tab, adjusted for Natural Gas Consumed in Operations</t>
  </si>
  <si>
    <t>Upstream, Third Party w/out Liquefaction - kg CO2e/BOE</t>
  </si>
  <si>
    <t>Chevron Internal Analysis of IEA World Energy Outlook 2018</t>
  </si>
  <si>
    <t>Liquefaction, Third Party - kg CO2e/BOE</t>
  </si>
  <si>
    <t>Transport and Downstream - kg CO2e/BOE</t>
  </si>
  <si>
    <t>End Use, HHV Basis - tCO2e/MMBTU</t>
  </si>
  <si>
    <t>API Compendium (2021), Table 4-3 and 4-6
Assumed GWPs for CH4 and N2O are 25 and 298, respectively</t>
  </si>
  <si>
    <t>Transport Intensity - kgCO2e/BOE</t>
  </si>
  <si>
    <t>Emission Factor, HHV - tCO2e/MMBTU</t>
  </si>
  <si>
    <t>API Compendium (2021), Table 4-3 for NGLs and Table 4-6 and 4-8 for % of NGL Barrel by Component
Assumed GWPs for CH4 and N2O are 25 and 298, respectively</t>
  </si>
  <si>
    <r>
      <rPr>
        <sz val="11"/>
        <rFont val="Arial"/>
        <family val="2"/>
      </rPr>
      <t>2030 value for Natural Gas and SMR, 1700km:</t>
    </r>
    <r>
      <rPr>
        <u/>
        <sz val="11"/>
        <color theme="10"/>
        <rFont val="Arial"/>
        <family val="2"/>
      </rPr>
      <t xml:space="preserve"> 
https://hydrogencouncil.com/wp-content/uploads/2021/01/Hydrogen-Council-Report_Decarbonization-Pathways_Part-1-Lifecycle-Assessment.pdf</t>
    </r>
  </si>
  <si>
    <r>
      <rPr>
        <sz val="11"/>
        <rFont val="Arial"/>
        <family val="2"/>
      </rPr>
      <t>2030 value for Natural Gas with SMR and 90% CCS capture, 1700km:</t>
    </r>
    <r>
      <rPr>
        <u/>
        <sz val="11"/>
        <color theme="10"/>
        <rFont val="Arial"/>
        <family val="2"/>
      </rPr>
      <t xml:space="preserve"> 
https://hydrogencouncil.com/wp-content/uploads/2021/01/Hydrogen-Council-Report_Decarbonization-Pathways_Part-1-Lifecycle-Assessment.pdf</t>
    </r>
  </si>
  <si>
    <r>
      <rPr>
        <sz val="11"/>
        <rFont val="Arial"/>
        <family val="2"/>
      </rPr>
      <t xml:space="preserve">2030 value for Renewable Electrolysis with Wind Power: </t>
    </r>
    <r>
      <rPr>
        <u/>
        <sz val="11"/>
        <color theme="10"/>
        <rFont val="Arial"/>
        <family val="2"/>
      </rPr>
      <t xml:space="preserve">
https://hydrogencouncil.com/wp-content/uploads/2021/01/Hydrogen-Council-Report_Decarbonization-Pathways_Part-1-Lifecycle-Assessment.pdf</t>
    </r>
  </si>
  <si>
    <t>Generation Type: Wind - gCO2e/kWh</t>
  </si>
  <si>
    <r>
      <rPr>
        <sz val="11"/>
        <rFont val="Arial"/>
        <family val="2"/>
      </rPr>
      <t>NREL Total Life Cycle Emissions from Wind (Table 1):</t>
    </r>
    <r>
      <rPr>
        <u/>
        <sz val="11"/>
        <color theme="10"/>
        <rFont val="Arial"/>
        <family val="2"/>
      </rPr>
      <t xml:space="preserve">
https://www.nrel.gov/docs/fy21osti/80580.pdf</t>
    </r>
  </si>
  <si>
    <t>Generation Type: Solar - gCO2e/kWh</t>
  </si>
  <si>
    <r>
      <rPr>
        <sz val="11"/>
        <rFont val="Arial"/>
        <family val="2"/>
      </rPr>
      <t>NREL Total Life Cycle Emissions from Photovoltaics (Table 1):</t>
    </r>
    <r>
      <rPr>
        <u/>
        <sz val="11"/>
        <color theme="10"/>
        <rFont val="Arial"/>
        <family val="2"/>
      </rPr>
      <t xml:space="preserve">
https://www.nrel.gov/docs/fy21osti/80580.pdf</t>
    </r>
  </si>
  <si>
    <t>Generation Type: Geothermal - gCO2e/kWh</t>
  </si>
  <si>
    <r>
      <rPr>
        <sz val="11"/>
        <rFont val="Arial"/>
        <family val="2"/>
      </rPr>
      <t>NREL Total Life Cycle Emissions from Geothermal (Table 1):</t>
    </r>
    <r>
      <rPr>
        <u/>
        <sz val="11"/>
        <color theme="10"/>
        <rFont val="Arial"/>
        <family val="2"/>
      </rPr>
      <t xml:space="preserve">
https://www.nrel.gov/docs/fy21osti/80580.pdf</t>
    </r>
  </si>
  <si>
    <t>Average Biofuel Parameters</t>
  </si>
  <si>
    <r>
      <t>Average Carbon Intensity (gCO</t>
    </r>
    <r>
      <rPr>
        <vertAlign val="subscript"/>
        <sz val="11"/>
        <rFont val="Arial"/>
        <family val="2"/>
      </rPr>
      <t>2</t>
    </r>
    <r>
      <rPr>
        <sz val="11"/>
        <rFont val="Arial"/>
        <family val="2"/>
      </rPr>
      <t>e/MJ), HHV</t>
    </r>
  </si>
  <si>
    <t xml:space="preserve">Chevron internal analysis based on purchase data and production volumes </t>
  </si>
  <si>
    <r>
      <t>Average Carbon Intensity (gCO</t>
    </r>
    <r>
      <rPr>
        <vertAlign val="subscript"/>
        <sz val="11"/>
        <rFont val="Arial"/>
        <family val="2"/>
      </rPr>
      <t>2</t>
    </r>
    <r>
      <rPr>
        <sz val="11"/>
        <rFont val="Arial"/>
        <family val="2"/>
      </rPr>
      <t>e/MJ), LHV</t>
    </r>
  </si>
  <si>
    <t>Average Energy Content (TJ/MBOE), HHV</t>
  </si>
  <si>
    <t>Average Energy Content (TJ/MBOE), LHV</t>
  </si>
  <si>
    <t>Company-Marketed Refined Product Emissions</t>
  </si>
  <si>
    <t>Default Chevron Values</t>
  </si>
  <si>
    <t>Use of Product Emission Factors</t>
  </si>
  <si>
    <r>
      <t xml:space="preserve">Higher Heating Value 
(BTU/BBL Product) </t>
    </r>
    <r>
      <rPr>
        <i/>
        <vertAlign val="superscript"/>
        <sz val="11"/>
        <rFont val="Arial"/>
        <family val="2"/>
      </rPr>
      <t>a</t>
    </r>
  </si>
  <si>
    <r>
      <t xml:space="preserve">Lower Heating Value 
(BTU/BBL Product) </t>
    </r>
    <r>
      <rPr>
        <i/>
        <vertAlign val="superscript"/>
        <sz val="11"/>
        <rFont val="Arial"/>
        <family val="2"/>
      </rPr>
      <t>a</t>
    </r>
  </si>
  <si>
    <r>
      <t>Emissions from Use of Product, HHV Basis 
(tCO</t>
    </r>
    <r>
      <rPr>
        <i/>
        <vertAlign val="subscript"/>
        <sz val="11"/>
        <rFont val="Arial"/>
        <family val="2"/>
      </rPr>
      <t>2</t>
    </r>
    <r>
      <rPr>
        <i/>
        <sz val="11"/>
        <rFont val="Arial"/>
        <family val="2"/>
      </rPr>
      <t xml:space="preserve">e/MMBTU Product) </t>
    </r>
    <r>
      <rPr>
        <i/>
        <vertAlign val="superscript"/>
        <sz val="11"/>
        <rFont val="Arial"/>
        <family val="2"/>
      </rPr>
      <t>b</t>
    </r>
  </si>
  <si>
    <r>
      <rPr>
        <vertAlign val="superscript"/>
        <sz val="11"/>
        <color theme="1"/>
        <rFont val="Arial"/>
        <family val="2"/>
      </rPr>
      <t xml:space="preserve">a </t>
    </r>
    <r>
      <rPr>
        <sz val="11"/>
        <color theme="1"/>
        <rFont val="Arial"/>
        <family val="2"/>
      </rPr>
      <t xml:space="preserve"> Source: API Compendium (2021) Table 3-8 for Densities, Higher Heating Values, and Carbon Contents for Various fuels     
</t>
    </r>
  </si>
  <si>
    <r>
      <rPr>
        <vertAlign val="superscript"/>
        <sz val="11"/>
        <color theme="1"/>
        <rFont val="Arial"/>
        <family val="2"/>
      </rPr>
      <t>b</t>
    </r>
    <r>
      <rPr>
        <sz val="11"/>
        <color theme="1"/>
        <rFont val="Arial"/>
        <family val="2"/>
      </rPr>
      <t xml:space="preserve">  Source: API Compendium (2021) Tables 4-3 and 4-6 for CO2e Combustion Emission Factors for Common Industry Fuel Types. Assumed GWPs for CH4 and N2O are 28 and 265, respectively.</t>
    </r>
  </si>
  <si>
    <t>Custom Values</t>
  </si>
  <si>
    <t>Higher Heating Value 
(BTU/BBL Product)</t>
  </si>
  <si>
    <t>Lower Heating Value 
(BTU/BBL Product)</t>
  </si>
  <si>
    <r>
      <t>Emissions from Use of Product, HHV Basis
(tCO</t>
    </r>
    <r>
      <rPr>
        <i/>
        <vertAlign val="subscript"/>
        <sz val="11"/>
        <rFont val="Arial"/>
        <family val="2"/>
      </rPr>
      <t>2</t>
    </r>
    <r>
      <rPr>
        <i/>
        <sz val="11"/>
        <rFont val="Arial"/>
        <family val="2"/>
      </rPr>
      <t>e/MMBTU Product)</t>
    </r>
  </si>
  <si>
    <t>Custom Source (optional)</t>
  </si>
  <si>
    <t>Calculations for NGL Heating Values</t>
  </si>
  <si>
    <t>NGL Component</t>
  </si>
  <si>
    <t>% of NGL Barrel by Component</t>
  </si>
  <si>
    <t>HHV of Component
(BTU/BBL)</t>
  </si>
  <si>
    <t>HHV weighted by Component Percentage
(BTU/BBL)</t>
  </si>
  <si>
    <t>LHV of Component
(BTU/BBL)</t>
  </si>
  <si>
    <t>LHV weighted by Component Percentage
(BTU/BBL)</t>
  </si>
  <si>
    <t>Ethane</t>
  </si>
  <si>
    <t>Propane</t>
  </si>
  <si>
    <t>Butane</t>
  </si>
  <si>
    <t>Isobutane</t>
  </si>
  <si>
    <t>Natural Gasoline</t>
  </si>
  <si>
    <t>Chevron internal analysis for generic NGL barrel composition of 42% ethane, 28% propane, 8% n-butane, 9% i-butane, and 13% natural gasoline.</t>
  </si>
  <si>
    <t>Oil and Refined Products Calculations</t>
  </si>
  <si>
    <t>PCI Results</t>
  </si>
  <si>
    <t>Formula Notes</t>
  </si>
  <si>
    <t>Sum of Energy Delivered, HHV basis (TJ/yr) for all segments divided by 1 million</t>
  </si>
  <si>
    <r>
      <t>Estimated Value Chain Emissions (MMT CO</t>
    </r>
    <r>
      <rPr>
        <vertAlign val="subscript"/>
        <sz val="10"/>
        <color theme="1"/>
        <rFont val="Arial"/>
        <family val="2"/>
      </rPr>
      <t>2</t>
    </r>
    <r>
      <rPr>
        <sz val="10"/>
        <color theme="1"/>
        <rFont val="Arial"/>
        <family val="2"/>
      </rPr>
      <t>e/yr)</t>
    </r>
  </si>
  <si>
    <t>Value Chain Emissions (MMTCO2e/yr) for all segments</t>
  </si>
  <si>
    <t>Value Chain PCI (gCO2e/MJ)</t>
  </si>
  <si>
    <t>If Energy Delivered is greater than zero, Estimated Value Chain Emissions (MMT CO2e/yr) divided by Energy Delivered (MMTJ/yr)</t>
  </si>
  <si>
    <t>Volume Inputs</t>
  </si>
  <si>
    <t>Volume Category</t>
  </si>
  <si>
    <t>Input from Dashboard</t>
  </si>
  <si>
    <t>Net Crude Oil Production</t>
  </si>
  <si>
    <t>Net Crude Oil and Natural Gas Liquids Production - Upstream Natural Gas Liquids</t>
  </si>
  <si>
    <t xml:space="preserve">  Use Alternative Calculation. Enter Input Total Refined Products by clicking here.</t>
  </si>
  <si>
    <t>Biofuel Volumes</t>
  </si>
  <si>
    <t>Net Marketed Refined Products</t>
  </si>
  <si>
    <t>Marketed Refined Products' minus 'Biofuels Volumes'</t>
  </si>
  <si>
    <t>Conversion Factors</t>
  </si>
  <si>
    <t>Value</t>
  </si>
  <si>
    <t>days/year</t>
  </si>
  <si>
    <t>Type of Crude Barrels Converted to Refined Products</t>
  </si>
  <si>
    <t>The calculation sections below help to rank segments (production, refining, marketing) in terms of energy.</t>
  </si>
  <si>
    <t>Company Produced + Company Refined</t>
  </si>
  <si>
    <t>Formula: Lower of Net Crude Oil Production or Refinery Crude Oil Input. Multiplied by BBL Refined Products and BBL Refinery Crude Input ratio.</t>
  </si>
  <si>
    <t>Third Party Produced + Company Refined</t>
  </si>
  <si>
    <t>Formula: Higher of Zero or 'Refinery Crude Oil Input' minus 'Net Crude Oil Production'. Multiplied by 'BBL Refined Products and BBL Refinery Crude Input' ratio.</t>
  </si>
  <si>
    <t>Company Produced + Third Party Refined</t>
  </si>
  <si>
    <t>Formula: Higher of Zero or 'Net Crude Oil Production' minus 'Refinery Crude Oil Input'. Multiplied by 'BBL Refined Products and BBL Refinery Crude Input' ratio.</t>
  </si>
  <si>
    <t>Third Party Produced +Third Party Refined</t>
  </si>
  <si>
    <t>Formula: Higher of Zero or (('Marketed Refined Products' minus 'Biofuel Volumes') - sum of three numbers above)</t>
  </si>
  <si>
    <t>Type of Marketed Product</t>
  </si>
  <si>
    <t>Percent</t>
  </si>
  <si>
    <t>Company Marketed</t>
  </si>
  <si>
    <t>Linked to Net Marketed Refined Products</t>
  </si>
  <si>
    <t>Third Party Marketed</t>
  </si>
  <si>
    <t>Formula: Higher of Zero or ((Sum of 'Company Produced + Company Refined', 'Third Party Produced + Company Refined', 'Company Produced + Third Party Refined') - Company Marketed')</t>
  </si>
  <si>
    <t>Product Mix Based on Input Data Tab</t>
  </si>
  <si>
    <t>Company-marketed Refined Product</t>
  </si>
  <si>
    <t>Percent of Refined Product Sales (Non-LPG)</t>
  </si>
  <si>
    <t>If the sum of Company-marketed Refined Products is greater than 0, calculates the product percent of total, else 0</t>
  </si>
  <si>
    <t>Third party-marketed Refined Product</t>
  </si>
  <si>
    <t>'Third Party Marketed' (MBBL/day) multiplied by 'Refined Products - Alt Calc' IEA product percentage</t>
  </si>
  <si>
    <t>If the sum of Third party-marketed Refined Products is greater than 0, calculates the product percent of total, else 0</t>
  </si>
  <si>
    <t>If the sum of Third party-marketed Refined Products is greater than 0, calculates the product percent of total, else 1</t>
  </si>
  <si>
    <t>If the sum of Third party-marketed Refined Products is greater than 0, calculates the product percent of total, else 2</t>
  </si>
  <si>
    <r>
      <t xml:space="preserve">Higher Heating Value 
(BTU/BBL Product) </t>
    </r>
    <r>
      <rPr>
        <i/>
        <vertAlign val="superscript"/>
        <sz val="10"/>
        <rFont val="Arial"/>
        <family val="2"/>
      </rPr>
      <t>a</t>
    </r>
  </si>
  <si>
    <r>
      <t xml:space="preserve">Lower Heating Value 
(BTU/BBL Product) </t>
    </r>
    <r>
      <rPr>
        <i/>
        <vertAlign val="superscript"/>
        <sz val="10"/>
        <rFont val="Arial"/>
        <family val="2"/>
      </rPr>
      <t>a</t>
    </r>
  </si>
  <si>
    <r>
      <t>Emissions from Use of Product, HHV basis 
(tCO</t>
    </r>
    <r>
      <rPr>
        <i/>
        <vertAlign val="subscript"/>
        <sz val="10"/>
        <rFont val="Arial"/>
        <family val="2"/>
      </rPr>
      <t>2</t>
    </r>
    <r>
      <rPr>
        <i/>
        <sz val="10"/>
        <rFont val="Arial"/>
        <family val="2"/>
      </rPr>
      <t xml:space="preserve">e/MMBTU Product) </t>
    </r>
    <r>
      <rPr>
        <i/>
        <vertAlign val="superscript"/>
        <sz val="10"/>
        <rFont val="Arial"/>
        <family val="2"/>
      </rPr>
      <t>b</t>
    </r>
  </si>
  <si>
    <t>Emissions from Use of Product (tCO2e/MBBL) is Higher Heating Value (BTU/BBL) multiplied by Emissions from Use of Product, HHV Basis (tCO2e/MMBTU) divided by 1000</t>
  </si>
  <si>
    <t>Weighted Average Emission Factors for Product Marketed by Company</t>
  </si>
  <si>
    <t>Weighted Higher Heating Value 
(BTU/BBL Product)</t>
  </si>
  <si>
    <t>Weighted Lower Heating Value 
(BTU/BBL Product)</t>
  </si>
  <si>
    <t>Weighted Emissions from Use of Product (tCO2e/MBBL product)' is 'Emissions from Use of Product (tCO2e/MBBL product)' above multiplied by corresponding Company-marketed 'Percent of Refined Product Sales (non-LPG)'</t>
  </si>
  <si>
    <t>Weighted Average of non-NGL Refined Products</t>
  </si>
  <si>
    <t>Weighted Average Emission Factors for Product Marketed by Third Party</t>
  </si>
  <si>
    <r>
      <rPr>
        <i/>
        <sz val="10"/>
        <color rgb="FF000000"/>
        <rFont val="Arial"/>
        <family val="2"/>
      </rPr>
      <t xml:space="preserve"> Weighted Emissions from Use of Product</t>
    </r>
    <r>
      <rPr>
        <i/>
        <sz val="10"/>
        <color rgb="FFFF0000"/>
        <rFont val="Arial"/>
        <family val="2"/>
      </rPr>
      <t xml:space="preserve"> 
</t>
    </r>
    <r>
      <rPr>
        <i/>
        <sz val="10"/>
        <color rgb="FF000000"/>
        <rFont val="Arial"/>
        <family val="2"/>
      </rPr>
      <t>(tCO</t>
    </r>
    <r>
      <rPr>
        <i/>
        <vertAlign val="subscript"/>
        <sz val="10"/>
        <color rgb="FF000000"/>
        <rFont val="Arial"/>
        <family val="2"/>
      </rPr>
      <t>2</t>
    </r>
    <r>
      <rPr>
        <i/>
        <sz val="10"/>
        <color rgb="FF000000"/>
        <rFont val="Arial"/>
        <family val="2"/>
      </rPr>
      <t>e/MBBL product)</t>
    </r>
  </si>
  <si>
    <t>Weighted Emissions from Use of Product (tCO2e/MBBL product)' is 'Emissions from Use of Product (tCO2e/MBBL product)' above multiplied by corresponding Third Party 'Percent of Refined Product Sales (non-LPG)'</t>
  </si>
  <si>
    <t>Calculation of Largest Segment</t>
  </si>
  <si>
    <t>Ranking</t>
  </si>
  <si>
    <t>Type of Crude Barrels (Converted to Refined Products)</t>
  </si>
  <si>
    <t>Company Produced + Company Refined + Company Marketed</t>
  </si>
  <si>
    <t>Company Produced + Third Party Refined + Company Marketed</t>
  </si>
  <si>
    <t>Third Party Produced + Company Refined + Company Marketed</t>
  </si>
  <si>
    <t>Third Party Produced + Third Party Refined + Company Marketed</t>
  </si>
  <si>
    <t>Company Produced + Company Refined + Third Party Marketed</t>
  </si>
  <si>
    <t>Company Produced + Third Party Refined + Third Party Marketed</t>
  </si>
  <si>
    <t>Third Party Produced + Company Refined + Third Party Marketed</t>
  </si>
  <si>
    <t>Type</t>
  </si>
  <si>
    <r>
      <t>kgCO</t>
    </r>
    <r>
      <rPr>
        <i/>
        <vertAlign val="subscript"/>
        <sz val="10"/>
        <color theme="1"/>
        <rFont val="Arial"/>
        <family val="2"/>
      </rPr>
      <t>2</t>
    </r>
    <r>
      <rPr>
        <i/>
        <sz val="10"/>
        <color theme="1"/>
        <rFont val="Arial"/>
        <family val="2"/>
      </rPr>
      <t>e/BOE Production</t>
    </r>
  </si>
  <si>
    <t>Data Source</t>
  </si>
  <si>
    <r>
      <t>tCO</t>
    </r>
    <r>
      <rPr>
        <i/>
        <vertAlign val="subscript"/>
        <sz val="10"/>
        <color theme="1"/>
        <rFont val="Arial"/>
        <family val="2"/>
      </rPr>
      <t>2</t>
    </r>
    <r>
      <rPr>
        <i/>
        <sz val="10"/>
        <color theme="1"/>
        <rFont val="Arial"/>
        <family val="2"/>
      </rPr>
      <t>e/MBBL Refined Product</t>
    </r>
  </si>
  <si>
    <t>Upstream</t>
  </si>
  <si>
    <t>Company Equity</t>
  </si>
  <si>
    <t>kgCO2e/BOE production divided by BBL Refined Products / BBL Refinery Crude Input</t>
  </si>
  <si>
    <t>Third-Party</t>
  </si>
  <si>
    <t>Refining</t>
  </si>
  <si>
    <t>Transport</t>
  </si>
  <si>
    <t>Company Equity and Third-Party</t>
  </si>
  <si>
    <t>Value Chain Emission Calculations</t>
  </si>
  <si>
    <r>
      <t>Value Chain Emission Factors (tCO</t>
    </r>
    <r>
      <rPr>
        <i/>
        <vertAlign val="subscript"/>
        <sz val="10"/>
        <color theme="0"/>
        <rFont val="Arial"/>
        <family val="2"/>
      </rPr>
      <t>2</t>
    </r>
    <r>
      <rPr>
        <i/>
        <sz val="10"/>
        <color theme="0"/>
        <rFont val="Arial"/>
        <family val="2"/>
      </rPr>
      <t>e/MBBL Refined Product)</t>
    </r>
  </si>
  <si>
    <t>This section calculates the size of different segments for a company and applies emission factors based on Company performance or third-party values (IEA), accounting for different segment sizes. For example, a company that only markets refined products would be assigned IEA values for production and refining when estimating value chain emissions.</t>
  </si>
  <si>
    <t>Segments ordered from largest to smallest product volumes</t>
  </si>
  <si>
    <t>Oil and Refined Product
(MBBL/day)</t>
  </si>
  <si>
    <t>Energy Delivered, HHV Basis (TJ/yr)</t>
  </si>
  <si>
    <t>Energy Delivered, LHV Basis (TJ/yr)</t>
  </si>
  <si>
    <t>Upstream
(tCO2e/MBBL Refined Product)</t>
  </si>
  <si>
    <t>Refining
(tCO2e/MBBL Refined Product)</t>
  </si>
  <si>
    <t>Transport
(tCO2e/MBBL Refined Product)</t>
  </si>
  <si>
    <t>End Use
(tCO2e/MBBL Refined Product)</t>
  </si>
  <si>
    <t>Value Chain Intensity
(tCO2e/MBBL)</t>
  </si>
  <si>
    <t>Value Chain Emissions (MMTCO2e/yr)</t>
  </si>
  <si>
    <t>Formulas for section above:</t>
  </si>
  <si>
    <t>Sorts segments largest to smallest product volumes</t>
  </si>
  <si>
    <t>Looks up the MBBL/day for the applicable row segment</t>
  </si>
  <si>
    <t xml:space="preserve">Oil and Refined Product (MBBL/day) multiplied by days per year divided by 1,000 divided by MMBTU/TJ conversion multiplied by (If row segment name starts with "Company Marketed" THEN Company 'Weighted Average of non-NGL Refined Products' HHV total (BTU/BBL), else Third Party 'Weighted Average of non-NGL Refined Products' HHV Total) </t>
  </si>
  <si>
    <t xml:space="preserve">Oil and Refined Product (MBBL/day) multiplied by days per year divided by 1,000 divided by MMBTU/TJ conversion multiplied by (If row segment name starts with "Company Marketed" THEN Company 'Weighted Average of non-NGL Refined Products' LHV total (BTU/BBL), else Third Party 'Weighted Average of non-NGL Refined Products' LHV Total) </t>
  </si>
  <si>
    <t>If Segment name starts with 'Company' then Equity Upstream 'tCO2e/MBBL Refined Product' value else Third Party Upstream 'tCO2e/MBBL Refined Product' value</t>
  </si>
  <si>
    <t>If Segment name includes 'Company Refined' then Equity Refining 'tCO2e/MBBL Refined Product' value else Third Party Refining 'tCO2e/MBBL Refined Product' value</t>
  </si>
  <si>
    <t>Transport 'tCO2e/MBBL Refined Product' value</t>
  </si>
  <si>
    <t>If Segment name ends with 'Company marketed' then Company Marketed 'Weighted Emissions from Use of Product (tCO2e/MBBL products)' else Third Party Marketed 'Weighted Emissions from Use of Product (tCO2e/MBBL products)'</t>
  </si>
  <si>
    <t>Sum of Upstream, Refining, Transport and End Use (tCO2e/MBBL)</t>
  </si>
  <si>
    <t>Oil and Refined Product (MBBL/yr) multiplied by Value Chain Intensity (tCO2e/MBBL) multiplied by days per year divided by 1000000</t>
  </si>
  <si>
    <t>Gas and LNG Calculations</t>
  </si>
  <si>
    <t>Sum of Energy Delivered, HHV Basis (TJ/yr) for all value chain elements divided by 1 million</t>
  </si>
  <si>
    <t>Sum of Value Chain Emissions (MMTCO2e/yr) for all value chain elements</t>
  </si>
  <si>
    <t>Natural Gas Consumed in Operations</t>
  </si>
  <si>
    <t>Marketed Natural Gas</t>
  </si>
  <si>
    <t>Marketed LNG</t>
  </si>
  <si>
    <t>Formula</t>
  </si>
  <si>
    <t>Upstream and LNG, Own Production Intensity</t>
  </si>
  <si>
    <t>Company Sustainability Report, Adjusted for Own Use Gas</t>
  </si>
  <si>
    <r>
      <t>kg CO</t>
    </r>
    <r>
      <rPr>
        <vertAlign val="subscript"/>
        <sz val="10"/>
        <color theme="1"/>
        <rFont val="Arial"/>
        <family val="2"/>
      </rPr>
      <t>2</t>
    </r>
    <r>
      <rPr>
        <sz val="10"/>
        <color theme="1"/>
        <rFont val="Arial"/>
        <family val="2"/>
      </rPr>
      <t>e/MCF</t>
    </r>
  </si>
  <si>
    <t>Intensity (kg CO2e/BOE) divided by volume unit conversion (MCF/BOE)</t>
  </si>
  <si>
    <t>Upstream, Third Party w/out Liquefaction Intensity</t>
  </si>
  <si>
    <t>Liquefaction, Third Party Intensity</t>
  </si>
  <si>
    <t>Transport and Downstream Intensity</t>
  </si>
  <si>
    <t>End Use Intensity, HHV Basis</t>
  </si>
  <si>
    <r>
      <t>tCO</t>
    </r>
    <r>
      <rPr>
        <vertAlign val="subscript"/>
        <sz val="10"/>
        <color theme="1"/>
        <rFont val="Arial"/>
        <family val="2"/>
      </rPr>
      <t>2</t>
    </r>
    <r>
      <rPr>
        <sz val="10"/>
        <color theme="1"/>
        <rFont val="Arial"/>
        <family val="2"/>
      </rPr>
      <t>e/MMBTU</t>
    </r>
  </si>
  <si>
    <t>End Use Intensity, HHV basis (tCO2e/MMBTU) multiplied by NG HHV (MMBTU/MMCF)</t>
  </si>
  <si>
    <t>Calculations</t>
  </si>
  <si>
    <t>Value Chain Element</t>
  </si>
  <si>
    <t>Gas and LNG Input
(MMCF/day)</t>
  </si>
  <si>
    <r>
      <t>Value Chain Intensity, HHV Basis
(kgCO</t>
    </r>
    <r>
      <rPr>
        <i/>
        <vertAlign val="subscript"/>
        <sz val="10"/>
        <color theme="1"/>
        <rFont val="Arial"/>
        <family val="2"/>
      </rPr>
      <t>2</t>
    </r>
    <r>
      <rPr>
        <i/>
        <sz val="10"/>
        <color theme="1"/>
        <rFont val="Arial"/>
        <family val="2"/>
      </rPr>
      <t>e/MCF)</t>
    </r>
  </si>
  <si>
    <t>Value Chain Emissions
(MMT CO2e/yr)</t>
  </si>
  <si>
    <t>Own Gas Production Volumes</t>
  </si>
  <si>
    <t>Marketed Third Party LNG Volumes</t>
  </si>
  <si>
    <t>Marketed Third Party Gas (Non-LNG) Volumes</t>
  </si>
  <si>
    <t>Calculates the Gas and LNG Input (MMCF/day) for the applicable row segment</t>
  </si>
  <si>
    <t>Gas and LNG Input (MMCF/day) multiplied by days per year multiplied by Natural Gas HHV (MMBTU/MMCF) divided by MMBTU/TJ unit conversion</t>
  </si>
  <si>
    <t>Calculates the Value Chain Intensity, HHV Basis (kg CO2e/MCF) by adding the relevant Upstream, Liquefaction, Transport and Downstream, and End Use Intensities</t>
  </si>
  <si>
    <t>Gas and LNG Input (MMCF/day) multiplied by Value Chain Intensity, HHV Basis (kgCO2e/MCF) multiplied by days per year divided by 1 million</t>
  </si>
  <si>
    <t>Gas and LNG Input (MMCF/day) multiplied by days per year multiplied by Natural Gas LHV (MMBTU/MMCF) divided by MMBTU/TJ unit conversion</t>
  </si>
  <si>
    <t>Biofuels Calculations</t>
  </si>
  <si>
    <t>Sum of HHV Energy Delivered (MMTJ/yr) for all value chain elements</t>
  </si>
  <si>
    <t>Estimated Value Chain Emissions (MMT CO2e/yr) divided by Energy Delivered (MMTJ/yr)</t>
  </si>
  <si>
    <t>Inputs</t>
  </si>
  <si>
    <t>Biofuel Volume (MBOE/day)</t>
  </si>
  <si>
    <r>
      <t>Average Carbon Intensity (gCO</t>
    </r>
    <r>
      <rPr>
        <vertAlign val="subscript"/>
        <sz val="10"/>
        <color theme="1"/>
        <rFont val="Arial"/>
        <family val="2"/>
      </rPr>
      <t>2</t>
    </r>
    <r>
      <rPr>
        <sz val="10"/>
        <color theme="1"/>
        <rFont val="Arial"/>
        <family val="2"/>
      </rPr>
      <t>e/MJ), HHV</t>
    </r>
  </si>
  <si>
    <r>
      <t>Average Carbon Intensity (gCO</t>
    </r>
    <r>
      <rPr>
        <vertAlign val="subscript"/>
        <sz val="10"/>
        <rFont val="Arial"/>
        <family val="2"/>
      </rPr>
      <t>2</t>
    </r>
    <r>
      <rPr>
        <sz val="10"/>
        <rFont val="Arial"/>
        <family val="2"/>
      </rPr>
      <t>e/MJ), LHV</t>
    </r>
  </si>
  <si>
    <t>Energy Delivered, HHV Basis (MMTJ/yr)</t>
  </si>
  <si>
    <t>Biofuel Volume (MBOE/day) multiplied by days/yr multiplied by Average Energy Content (TJ/MBOE), HHV divided by 1 million</t>
  </si>
  <si>
    <t>Energy Delivered, LHV Basis (MMTJ/yr)</t>
  </si>
  <si>
    <t>Biofuel Volume (MBOE/day) multiplied by days/yr multiplied by Average Energy Content (TJ/MBOE), LHV divided by 1 million</t>
  </si>
  <si>
    <r>
      <t>Estimated Value Chain Emissions (MMTCO</t>
    </r>
    <r>
      <rPr>
        <vertAlign val="subscript"/>
        <sz val="10"/>
        <color theme="1"/>
        <rFont val="Arial"/>
        <family val="2"/>
      </rPr>
      <t>2</t>
    </r>
    <r>
      <rPr>
        <sz val="10"/>
        <color theme="1"/>
        <rFont val="Arial"/>
        <family val="2"/>
      </rPr>
      <t>e/yr)</t>
    </r>
  </si>
  <si>
    <t>Energy Delivered, HHV Basis (MMTJ/yr) multiplied by Average Carbon Intensity (gCO2e/MJ), HHV</t>
  </si>
  <si>
    <t>NGLs Calculations</t>
  </si>
  <si>
    <t>Sum of HHV Energy Delivered (TJ/yr) for all value chain elements divided by 1 million</t>
  </si>
  <si>
    <t>Estimated Value Chain Emissions (MMT CO2e/yr)</t>
  </si>
  <si>
    <t>MMBBL/day</t>
  </si>
  <si>
    <t>Upstream NGLs</t>
  </si>
  <si>
    <t>Downstream NGLs</t>
  </si>
  <si>
    <t>Values</t>
  </si>
  <si>
    <t>Comments</t>
  </si>
  <si>
    <t>Equity Upstream Oil Intensity</t>
  </si>
  <si>
    <r>
      <t>kgCO</t>
    </r>
    <r>
      <rPr>
        <vertAlign val="subscript"/>
        <sz val="10"/>
        <color theme="1"/>
        <rFont val="Arial"/>
        <family val="2"/>
      </rPr>
      <t>2</t>
    </r>
    <r>
      <rPr>
        <sz val="10"/>
        <color theme="1"/>
        <rFont val="Arial"/>
        <family val="2"/>
      </rPr>
      <t>e/BOE</t>
    </r>
  </si>
  <si>
    <r>
      <t>kgCO</t>
    </r>
    <r>
      <rPr>
        <vertAlign val="subscript"/>
        <sz val="10"/>
        <color theme="1"/>
        <rFont val="Arial"/>
        <family val="2"/>
      </rPr>
      <t>2</t>
    </r>
    <r>
      <rPr>
        <sz val="10"/>
        <color theme="1"/>
        <rFont val="Arial"/>
        <family val="2"/>
      </rPr>
      <t>e/BBL</t>
    </r>
  </si>
  <si>
    <t>Equity Refining Intensity</t>
  </si>
  <si>
    <t>Transport Intensity</t>
  </si>
  <si>
    <t>End Use Intensity, HHV basis (tCO2e/MMBTU) multiplied by NGL HHV (BTU/BBL) divided by 1000</t>
  </si>
  <si>
    <t>NGL Input
(MBBL/day)</t>
  </si>
  <si>
    <r>
      <t>Value Chain Intensity, HHV Basis
(kgCO</t>
    </r>
    <r>
      <rPr>
        <i/>
        <vertAlign val="subscript"/>
        <sz val="10"/>
        <color theme="1"/>
        <rFont val="Arial"/>
        <family val="2"/>
      </rPr>
      <t>2</t>
    </r>
    <r>
      <rPr>
        <i/>
        <sz val="10"/>
        <color theme="1"/>
        <rFont val="Arial"/>
        <family val="2"/>
      </rPr>
      <t>e/BBL)</t>
    </r>
  </si>
  <si>
    <t>Value Chain Emissions, HHV Basis
(MMT CO2e/yr)</t>
  </si>
  <si>
    <t>Note: LPG not segregated.</t>
  </si>
  <si>
    <t>Calculates the NGL input (MBBL/day) for the applicable row segment</t>
  </si>
  <si>
    <t>NGL Input (MBBL/day) multiplied by days per year multiplied by NGL HHV (BTU/BBL) divided by 1000 divided by MMBTU/TJ Ratio</t>
  </si>
  <si>
    <t>Calculates the Upstream NGLs Value Chain Intensity, HHV Basis (kgCO2e/BBL) by adding Upstream Oil, Transport, and End Use intensities (kgCO2e/BBL)
Calculates the Downstream NGLs Value Chain Intensity, HHV Basis (kgCO2e/BBL) by adding Upstream Oil, Refining, Transport intensities (kgCO2e/BBL) dividing by BBL Refined Products / BBL Refinery Crude Input and adding the End Use Intensity (kgCO2e/BBL)</t>
  </si>
  <si>
    <t>NGL Input (MBBL/day) multiplied by Value Chain Intensity, HHV Basis (kgCO2e/BBL) multiplied by days per year divided by 1000000</t>
  </si>
  <si>
    <t>NGL Input (MBBL/day) multiplied by days per year multiplied by NGL LHV (BTU/BBL) divided by 1000 divided by MMBTU/TJ Ratio</t>
  </si>
  <si>
    <t>Hydrogen Calculations</t>
  </si>
  <si>
    <t>Hydrogen Type</t>
  </si>
  <si>
    <r>
      <t>kgCO</t>
    </r>
    <r>
      <rPr>
        <vertAlign val="subscript"/>
        <sz val="10"/>
        <color theme="1"/>
        <rFont val="Arial"/>
        <family val="2"/>
      </rPr>
      <t>2</t>
    </r>
    <r>
      <rPr>
        <sz val="10"/>
        <color theme="1"/>
        <rFont val="Arial"/>
        <family val="2"/>
      </rPr>
      <t>e/kgH</t>
    </r>
    <r>
      <rPr>
        <vertAlign val="subscript"/>
        <sz val="10"/>
        <color theme="1"/>
        <rFont val="Arial"/>
        <family val="2"/>
      </rPr>
      <t>2</t>
    </r>
  </si>
  <si>
    <t>Hydrogen HHV (BTU/CF)</t>
  </si>
  <si>
    <t>Hydrogen Density (g/CF)</t>
  </si>
  <si>
    <r>
      <t>Hydrogen Input
(MMT H</t>
    </r>
    <r>
      <rPr>
        <i/>
        <vertAlign val="subscript"/>
        <sz val="10"/>
        <color theme="1"/>
        <rFont val="Arial"/>
        <family val="2"/>
      </rPr>
      <t>2</t>
    </r>
    <r>
      <rPr>
        <i/>
        <sz val="10"/>
        <color theme="1"/>
        <rFont val="Arial"/>
        <family val="2"/>
      </rPr>
      <t>/yr)</t>
    </r>
  </si>
  <si>
    <t>Energy Delivered, HHV basis
(TJ/yr)</t>
  </si>
  <si>
    <r>
      <t>Value Chain Emissions 
(MMT CO</t>
    </r>
    <r>
      <rPr>
        <i/>
        <vertAlign val="subscript"/>
        <sz val="10"/>
        <color theme="1"/>
        <rFont val="Arial"/>
        <family val="2"/>
      </rPr>
      <t>2</t>
    </r>
    <r>
      <rPr>
        <i/>
        <sz val="10"/>
        <color theme="1"/>
        <rFont val="Arial"/>
        <family val="2"/>
      </rPr>
      <t>e/yr)</t>
    </r>
  </si>
  <si>
    <t>Energy Delivered, LHV basis
(TJ/yr)</t>
  </si>
  <si>
    <t>Total</t>
  </si>
  <si>
    <t>Hydrogen Input (MMT/yr) multiplied by 1 million divided by Hydrogen Density (g/CF) multiplied by Hydrogen HHV (BTU/CF) divided by MMBTU/TJ unit conversion</t>
  </si>
  <si>
    <t>Hydrogen input (MMT H2/yr) multiplied by Value Chain Emission Factor (kg CO2e/kg H2) for the relevant Hydrogen Type</t>
  </si>
  <si>
    <t>Energy Delivered, HHV basis (TJ/yr) multiplied by Hydrogen LHV/HHV Ratio</t>
  </si>
  <si>
    <t>Lower Carbon Power Calculations</t>
  </si>
  <si>
    <r>
      <t>gCO</t>
    </r>
    <r>
      <rPr>
        <i/>
        <vertAlign val="subscript"/>
        <sz val="10"/>
        <color theme="1"/>
        <rFont val="Arial"/>
        <family val="2"/>
      </rPr>
      <t>2</t>
    </r>
    <r>
      <rPr>
        <i/>
        <sz val="10"/>
        <color theme="1"/>
        <rFont val="Arial"/>
        <family val="2"/>
      </rPr>
      <t>e/kWh</t>
    </r>
  </si>
  <si>
    <t>Note: Reflects energy delivered to grid. Transportation and distribution losses are excluded.</t>
  </si>
  <si>
    <t>Generation Type</t>
  </si>
  <si>
    <t>Power
 (MWh/yr)</t>
  </si>
  <si>
    <t>Energy Delivered 
(TJ/yr)</t>
  </si>
  <si>
    <t>Power (MWh/yr) divided by MWh/TJ conversion factor</t>
  </si>
  <si>
    <t>Power (MWh/yr) multiplied by Value Chain Emission Factor for that generation type (gCO2e/kWh) divided by 1000 divided by 1 million</t>
  </si>
  <si>
    <t>Terms &amp; Conditions</t>
  </si>
  <si>
    <t>The PCI tool is subject to Chevron's website terms of use (https://www.chevron.com/terms-of-use).</t>
  </si>
  <si>
    <t>Information in this tool is based on publicly-available data and information.  Internal analysis within Chevron may also include more site-specific or pathway-specific information that is confidential, proprietary, or commercially sensitive and may not be included in this tool.</t>
  </si>
  <si>
    <t>Black tabs are additional background information about the model.</t>
  </si>
  <si>
    <t>Version 5. Released May 2024.</t>
  </si>
  <si>
    <t>Please see the 2023 Chevron Climate Change Resilience Report for more details on the overall approach, methodology, and intent of PCI.</t>
  </si>
  <si>
    <t xml:space="preserve">The portfolio carbon intensity (PCI) methodology is designed to facilitate carbon intensity accounting of a company’s portfolio. It uses a representative value chain that includes equity-based emissions associated with bringing products to market, including the indirect emissions from use of sold products (Scope 3). The PCI methodology facilitates transparency in calculations and data with information taken from financial statements and emissions disclosures. This approach enables comparison of companies that may participate in different parts of the value chain and the use of real data when possible. Chevron’s PCI represents the products we sell, including our own emissions, emissions from third parties and emissions from customer use of our products. For Chevron, the volume of emissions produced by users of our products is larger than our volume of emissions associated with either upstream production or manufacturing. </t>
  </si>
  <si>
    <t>Version 5</t>
  </si>
  <si>
    <t xml:space="preserve">The portfolio carbon intensity (PCI) methodology is designed to facilitate carbon intensity accounting of a company’s portfolio. It uses a representative value chain that includes equity-based emissions associated with bringing products to market, including the indirect emissions from use of sold products (Scope 3). The PCI methodology facilitates transparency in calculations and data with information taken from financial statements and emissions disclosures. This approach enables comparison of companies that may participate in different parts of the value chain and the use of real data when possible. </t>
  </si>
  <si>
    <t>** The PCI methodology provides a framework for transparent and consistent comparisons of the mix of energy products provided by a company and their associated carbon</t>
  </si>
  <si>
    <t xml:space="preserve"> performance, inclusive of elements of direct emissions (Scope 1), indirect emissions from imported energy (Scope 2), and indirect emissions associated with the value chain </t>
  </si>
  <si>
    <t>and use of sold products (Scope 3). The methodology is broadly applicable to oil and gas companies involved in exploration and production, manufacturing or marketing activities.</t>
  </si>
  <si>
    <r>
      <t>Emissions from Use of Product
(tCO</t>
    </r>
    <r>
      <rPr>
        <i/>
        <vertAlign val="subscript"/>
        <sz val="10"/>
        <color rgb="FF000000"/>
        <rFont val="Arial"/>
        <family val="2"/>
      </rPr>
      <t>2</t>
    </r>
    <r>
      <rPr>
        <i/>
        <sz val="10"/>
        <color rgb="FF000000"/>
        <rFont val="Arial"/>
        <family val="2"/>
      </rPr>
      <t>e/MBBL Product)</t>
    </r>
  </si>
  <si>
    <r>
      <t xml:space="preserve"> Weighted Emissions from Use of Product
(tCO</t>
    </r>
    <r>
      <rPr>
        <i/>
        <vertAlign val="subscript"/>
        <sz val="10"/>
        <color rgb="FF000000"/>
        <rFont val="Arial"/>
        <family val="2"/>
      </rPr>
      <t>2</t>
    </r>
    <r>
      <rPr>
        <i/>
        <sz val="10"/>
        <color rgb="FF000000"/>
        <rFont val="Arial"/>
        <family val="2"/>
      </rPr>
      <t>e/MBBL product)</t>
    </r>
  </si>
  <si>
    <r>
      <t xml:space="preserve">Version 3.0 incorporates updates to conversion factors, reflecting updates in external publications, and select other items. V3.0 was used to calculate Chevron's 2022 PCI value, included in our 2022 reasonable assurance statement and published in the 2022 </t>
    </r>
    <r>
      <rPr>
        <i/>
        <sz val="10"/>
        <color rgb="FF000000"/>
        <rFont val="Arial"/>
        <family val="2"/>
      </rPr>
      <t>Corporate Sustainability Report</t>
    </r>
    <r>
      <rPr>
        <sz val="10"/>
        <color rgb="FF000000"/>
        <rFont val="Arial"/>
        <family val="2"/>
      </rPr>
      <t>.</t>
    </r>
  </si>
  <si>
    <t>Chevron's biofuel volumes are based on purchase data and production volumes for ethanol, renewable diesel, sustainable aviation fuel, and biodiesel and production volumes for renewable natural gas in the United States, Hong Kong, Malaysia, Philippines, Thailand and Australia.</t>
  </si>
  <si>
    <t>Methodologies and emissions factors are updated periodically to reflect additional information or data that becomes available. For example, updates may include updated industry averages, primary data from third party producers/refiners and adjustments to energy efficiency assumptions, if warranted, based on the end-use applications for volumes of energy marketed by the company.</t>
  </si>
  <si>
    <t>Traditional Hydrogen</t>
  </si>
  <si>
    <t>CCUS-Enabled Hydrogen</t>
  </si>
  <si>
    <t xml:space="preserve">* Removals that reduce direct emissions (Scope 1) and indirect emissions from imported energy (Scope 2) would reduce the production, manufacturing or other sectoral intensity </t>
  </si>
  <si>
    <t xml:space="preserve">Version 5.0 incorporates updates to Chevron's internal analysis of the average carbon intensity of biofuels to include primary data, and other select items.
</t>
  </si>
  <si>
    <t>Lower Carbon Electrolytic Hydrogen</t>
  </si>
  <si>
    <t>Traditional Hydrogen - kgCO2e/kgH2 (LHV)</t>
  </si>
  <si>
    <t>CCUS-enabled Hydrogen - kgCO2e/kgH2 (LHV)</t>
  </si>
  <si>
    <t>Lower Carbon Electrolytic Hydrogen - kgCO2e/kgH2 (LHV)</t>
  </si>
  <si>
    <t xml:space="preserve">The PCI reflects gas, natural gas liquid (NGL), oil, biofuel, hydrogen and lower carbon power products. Carbon removals are deducted from total lifecycle emissions estimates. For traditional hydrocarbon products (gas, NGL and oil), the PCI includes volumes based on the business segment (production, manufacturing or marketing) with the largest overall commodity volume, inclusive of all traded volumes. Chemicals and other business lines that do not primarily supply energy products are excluded from this calculation. </t>
  </si>
  <si>
    <t xml:space="preserve">Heating value describes the quantity of energy released when a fuel is completely combusted. Higher heating value (HHV) is equal to the lower heating value (LHV) plus the energy required to evaporate any water contained within the fuel. HHV is always larger than LHV. Chevron uses HHV in conjunction with the API GHG Compendium, which presents HHV as the preferred convention when converting between fuel volume and energy and is also aligned with commercial contracts and prior frameworks on gas value chain emissions.  </t>
  </si>
  <si>
    <t>Intensity or performance-based measures are useful for assessing relative carbon efficiency, or carbon performance, of different suppliers of products and services for similar activities. Being able to assess, quantify and communicate carbon performance in a standardized way across the lifecycle of products and services can help promote reduction activities and policies. Absolute emissions provide insight into company size, sector or types of activities in which a company engages. Compared to absolute measures, intensity measures capture efficiency improvements that can be masked in growing companies and promote comparability across companies of different sizes.</t>
  </si>
  <si>
    <t>and would not be double-counted as removals.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</si>
</sst>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3" formatCode="_(* #,##0.00_);_(* \(#,##0.00\);_(* &quot;-&quot;??_);_(@_)"/>
    <numFmt numFmtId="164" formatCode="_(* #,##0_);_(* \(#,##0\);_(* &quot;-&quot;??_);_(@_)"/>
    <numFmt numFmtId="165" formatCode="0.0"/>
    <numFmt numFmtId="166" formatCode="0.000"/>
    <numFmt numFmtId="167" formatCode="_(* #,##0.0_);_(* \(#,##0.0\);_(* &quot;-&quot;?_);_(@_)"/>
    <numFmt numFmtId="168" formatCode="#,##0.0"/>
    <numFmt numFmtId="169" formatCode="#,##0.0_);\(#,##0.0\)"/>
    <numFmt numFmtId="170" formatCode="#,##0.000"/>
    <numFmt numFmtId="171" formatCode="#,##0.000000"/>
    <numFmt numFmtId="172" formatCode="0.00000000"/>
    <numFmt numFmtId="173" formatCode="0.0000000000"/>
  </numFmts>
  <fonts count="77" x14ac:knownFonts="1">
    <font>
      <sz val="11"/>
      <color theme="1"/>
      <name val="Calibri"/>
      <family val="2"/>
      <scheme val="minor"/>
    </font>
    <font>
      <sz val="10"/>
      <color theme="1"/>
      <name val="Arial"/>
      <family val="2"/>
    </font>
    <font>
      <sz val="11"/>
      <color theme="1"/>
      <name val="Calibri"/>
      <family val="2"/>
      <scheme val="minor"/>
    </font>
    <font>
      <sz val="8"/>
      <name val="Calibri"/>
      <family val="2"/>
      <scheme val="minor"/>
    </font>
    <font>
      <sz val="9"/>
      <color indexed="81"/>
      <name val="Tahoma"/>
      <family val="2"/>
    </font>
    <font>
      <sz val="10"/>
      <name val="Arial"/>
      <family val="2"/>
    </font>
    <font>
      <u/>
      <sz val="11"/>
      <color theme="10"/>
      <name val="Calibri"/>
      <family val="2"/>
      <scheme val="minor"/>
    </font>
    <font>
      <b/>
      <sz val="18"/>
      <color rgb="FF0B2D71"/>
      <name val="Arial"/>
      <family val="2"/>
    </font>
    <font>
      <b/>
      <sz val="14"/>
      <color rgb="FF0B2D71"/>
      <name val="Arial"/>
      <family val="2"/>
    </font>
    <font>
      <b/>
      <sz val="10"/>
      <color theme="1"/>
      <name val="Arial"/>
      <family val="2"/>
    </font>
    <font>
      <i/>
      <sz val="10"/>
      <color theme="1"/>
      <name val="Arial"/>
      <family val="2"/>
    </font>
    <font>
      <b/>
      <sz val="10"/>
      <color theme="0"/>
      <name val="Arial"/>
      <family val="2"/>
    </font>
    <font>
      <i/>
      <u/>
      <sz val="10"/>
      <color theme="10"/>
      <name val="Arial"/>
      <family val="2"/>
    </font>
    <font>
      <sz val="10"/>
      <color rgb="FFFF0000"/>
      <name val="Arial"/>
      <family val="2"/>
    </font>
    <font>
      <b/>
      <sz val="9"/>
      <color indexed="81"/>
      <name val="Tahoma"/>
      <family val="2"/>
    </font>
    <font>
      <b/>
      <u/>
      <sz val="9"/>
      <color indexed="81"/>
      <name val="Tahoma"/>
      <family val="2"/>
    </font>
    <font>
      <b/>
      <sz val="20"/>
      <color theme="1"/>
      <name val="Arial"/>
      <family val="2"/>
    </font>
    <font>
      <i/>
      <sz val="10"/>
      <color theme="0"/>
      <name val="Arial"/>
      <family val="2"/>
    </font>
    <font>
      <sz val="10"/>
      <color rgb="FFC00000"/>
      <name val="Arial"/>
      <family val="2"/>
    </font>
    <font>
      <i/>
      <vertAlign val="subscript"/>
      <sz val="10"/>
      <color theme="1"/>
      <name val="Arial"/>
      <family val="2"/>
    </font>
    <font>
      <sz val="10"/>
      <color rgb="FF008000"/>
      <name val="Arial"/>
      <family val="2"/>
    </font>
    <font>
      <i/>
      <sz val="10"/>
      <name val="Arial"/>
      <family val="2"/>
    </font>
    <font>
      <i/>
      <vertAlign val="superscript"/>
      <sz val="10"/>
      <name val="Arial"/>
      <family val="2"/>
    </font>
    <font>
      <i/>
      <vertAlign val="subscript"/>
      <sz val="10"/>
      <name val="Arial"/>
      <family val="2"/>
    </font>
    <font>
      <sz val="10"/>
      <color theme="0"/>
      <name val="Arial"/>
      <family val="2"/>
    </font>
    <font>
      <vertAlign val="subscript"/>
      <sz val="10"/>
      <color theme="1"/>
      <name val="Arial"/>
      <family val="2"/>
    </font>
    <font>
      <sz val="8"/>
      <color theme="6"/>
      <name val="Arial"/>
      <family val="2"/>
    </font>
    <font>
      <sz val="10"/>
      <color rgb="FF0070C0"/>
      <name val="Arial"/>
      <family val="2"/>
    </font>
    <font>
      <i/>
      <sz val="10"/>
      <color rgb="FF0070C0"/>
      <name val="Arial"/>
      <family val="2"/>
    </font>
    <font>
      <sz val="10"/>
      <color rgb="FF0000CC"/>
      <name val="Arial"/>
      <family val="2"/>
    </font>
    <font>
      <sz val="10"/>
      <color theme="4" tint="-0.249977111117893"/>
      <name val="Arial"/>
      <family val="2"/>
    </font>
    <font>
      <b/>
      <i/>
      <sz val="10"/>
      <color rgb="FF002060"/>
      <name val="Arial"/>
      <family val="2"/>
    </font>
    <font>
      <i/>
      <sz val="10"/>
      <color rgb="FF002060"/>
      <name val="Arial"/>
      <family val="2"/>
    </font>
    <font>
      <b/>
      <sz val="12"/>
      <color theme="1"/>
      <name val="Arial"/>
      <family val="2"/>
    </font>
    <font>
      <sz val="11"/>
      <color theme="1"/>
      <name val="Arial"/>
      <family val="2"/>
    </font>
    <font>
      <i/>
      <sz val="11"/>
      <color theme="1"/>
      <name val="Arial"/>
      <family val="2"/>
    </font>
    <font>
      <sz val="12"/>
      <color theme="1"/>
      <name val="Arial"/>
      <family val="2"/>
    </font>
    <font>
      <sz val="20"/>
      <color theme="1"/>
      <name val="Arial"/>
      <family val="2"/>
    </font>
    <font>
      <sz val="14"/>
      <color theme="1"/>
      <name val="Arial"/>
      <family val="2"/>
    </font>
    <font>
      <b/>
      <sz val="11"/>
      <color theme="1"/>
      <name val="Arial"/>
      <family val="2"/>
    </font>
    <font>
      <b/>
      <i/>
      <sz val="11"/>
      <color theme="1"/>
      <name val="Arial"/>
      <family val="2"/>
    </font>
    <font>
      <u/>
      <sz val="11"/>
      <color theme="10"/>
      <name val="Arial"/>
      <family val="2"/>
    </font>
    <font>
      <sz val="11"/>
      <name val="Arial"/>
      <family val="2"/>
    </font>
    <font>
      <i/>
      <sz val="11"/>
      <name val="Arial"/>
      <family val="2"/>
    </font>
    <font>
      <i/>
      <vertAlign val="superscript"/>
      <sz val="11"/>
      <name val="Arial"/>
      <family val="2"/>
    </font>
    <font>
      <i/>
      <vertAlign val="subscript"/>
      <sz val="11"/>
      <name val="Arial"/>
      <family val="2"/>
    </font>
    <font>
      <b/>
      <sz val="20"/>
      <color theme="0"/>
      <name val="Arial"/>
      <family val="2"/>
    </font>
    <font>
      <sz val="11"/>
      <color rgb="FF0000CC"/>
      <name val="Arial"/>
      <family val="2"/>
    </font>
    <font>
      <b/>
      <sz val="14"/>
      <color rgb="FF0000CC"/>
      <name val="Arial"/>
      <family val="2"/>
    </font>
    <font>
      <b/>
      <sz val="10"/>
      <color theme="4"/>
      <name val="Arial"/>
      <family val="2"/>
    </font>
    <font>
      <sz val="10"/>
      <color rgb="FF000000"/>
      <name val="Arial"/>
      <family val="2"/>
    </font>
    <font>
      <b/>
      <i/>
      <sz val="10"/>
      <color theme="1"/>
      <name val="Arial"/>
      <family val="2"/>
    </font>
    <font>
      <sz val="16"/>
      <color theme="1"/>
      <name val="Arial"/>
      <family val="2"/>
    </font>
    <font>
      <sz val="11"/>
      <color rgb="FF000000"/>
      <name val="Arial"/>
      <family val="2"/>
    </font>
    <font>
      <sz val="10"/>
      <color rgb="FF002060"/>
      <name val="Arial"/>
      <family val="2"/>
    </font>
    <font>
      <i/>
      <sz val="10"/>
      <color theme="6"/>
      <name val="Arial"/>
      <family val="2"/>
    </font>
    <font>
      <sz val="8"/>
      <color theme="1"/>
      <name val="Arial"/>
      <family val="2"/>
    </font>
    <font>
      <vertAlign val="superscript"/>
      <sz val="11"/>
      <color theme="1"/>
      <name val="Arial"/>
      <family val="2"/>
    </font>
    <font>
      <sz val="8"/>
      <name val="Arial"/>
      <family val="2"/>
    </font>
    <font>
      <sz val="8"/>
      <color rgb="FF000000"/>
      <name val="Arial"/>
      <family val="2"/>
    </font>
    <font>
      <i/>
      <vertAlign val="subscript"/>
      <sz val="10"/>
      <color theme="0"/>
      <name val="Arial"/>
      <family val="2"/>
    </font>
    <font>
      <i/>
      <sz val="12"/>
      <color theme="1"/>
      <name val="Arial"/>
      <family val="2"/>
    </font>
    <font>
      <i/>
      <sz val="10"/>
      <color rgb="FF000000"/>
      <name val="Arial"/>
      <family val="2"/>
    </font>
    <font>
      <i/>
      <vertAlign val="subscript"/>
      <sz val="10"/>
      <color rgb="FF000000"/>
      <name val="Arial"/>
      <family val="2"/>
    </font>
    <font>
      <i/>
      <sz val="10"/>
      <color rgb="FFFF0000"/>
      <name val="Arial"/>
      <family val="2"/>
    </font>
    <font>
      <sz val="11"/>
      <color indexed="81"/>
      <name val="Calibri"/>
      <family val="2"/>
      <scheme val="minor"/>
    </font>
    <font>
      <u/>
      <sz val="11"/>
      <color rgb="FF0070C0"/>
      <name val="Arial"/>
      <family val="2"/>
    </font>
    <font>
      <b/>
      <sz val="10"/>
      <color rgb="FFFF0000"/>
      <name val="Arial"/>
      <family val="2"/>
    </font>
    <font>
      <sz val="11"/>
      <color rgb="FFFF0000"/>
      <name val="Arial"/>
      <family val="2"/>
    </font>
    <font>
      <vertAlign val="subscript"/>
      <sz val="11"/>
      <name val="Arial"/>
      <family val="2"/>
    </font>
    <font>
      <vertAlign val="subscript"/>
      <sz val="10"/>
      <name val="Arial"/>
      <family val="2"/>
    </font>
    <font>
      <sz val="12"/>
      <color rgb="FF000000"/>
      <name val="Arial"/>
      <family val="2"/>
    </font>
    <font>
      <b/>
      <sz val="11"/>
      <color theme="10"/>
      <name val="Arial"/>
      <family val="2"/>
    </font>
    <font>
      <sz val="16"/>
      <color rgb="FFFF0000"/>
      <name val="Arial"/>
      <family val="2"/>
    </font>
    <font>
      <sz val="22"/>
      <color theme="1"/>
      <name val="Arial"/>
      <family val="2"/>
    </font>
    <font>
      <b/>
      <sz val="11"/>
      <color theme="0" tint="-0.34998626667073579"/>
      <name val="Arial"/>
      <family val="2"/>
    </font>
    <font>
      <i/>
      <sz val="10"/>
      <color theme="0" tint="-0.499984740745262"/>
      <name val="Arial"/>
      <family val="2"/>
    </font>
  </fonts>
  <fills count="12">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1"/>
        <bgColor indexed="64"/>
      </patternFill>
    </fill>
    <fill>
      <patternFill patternType="solid">
        <fgColor theme="4"/>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0070C0"/>
        <bgColor indexed="64"/>
      </patternFill>
    </fill>
    <fill>
      <patternFill patternType="solid">
        <fgColor theme="7" tint="0.79998168889431442"/>
        <bgColor indexed="64"/>
      </patternFill>
    </fill>
    <fill>
      <patternFill patternType="solid">
        <fgColor rgb="FF00206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hair">
        <color indexed="64"/>
      </top>
      <bottom/>
      <diagonal/>
    </border>
    <border>
      <left/>
      <right/>
      <top/>
      <bottom style="hair">
        <color indexed="64"/>
      </bottom>
      <diagonal/>
    </border>
    <border>
      <left/>
      <right/>
      <top style="thin">
        <color theme="0" tint="-0.249977111117893"/>
      </top>
      <bottom/>
      <diagonal/>
    </border>
    <border>
      <left/>
      <right style="thick">
        <color theme="2" tint="-9.9978637043366805E-2"/>
      </right>
      <top/>
      <bottom style="thick">
        <color theme="2" tint="-9.9978637043366805E-2"/>
      </bottom>
      <diagonal/>
    </border>
    <border>
      <left/>
      <right style="thick">
        <color theme="2" tint="-9.9978637043366805E-2"/>
      </right>
      <top/>
      <bottom/>
      <diagonal/>
    </border>
    <border>
      <left/>
      <right/>
      <top style="thick">
        <color theme="0" tint="-0.14999847407452621"/>
      </top>
      <bottom/>
      <diagonal/>
    </border>
    <border>
      <left/>
      <right style="thick">
        <color theme="2" tint="-9.9978637043366805E-2"/>
      </right>
      <top style="thick">
        <color theme="0" tint="-0.14999847407452621"/>
      </top>
      <bottom style="thick">
        <color theme="2" tint="-9.9978637043366805E-2"/>
      </bottom>
      <diagonal/>
    </border>
    <border>
      <left style="thick">
        <color theme="0" tint="-0.14999847407452621"/>
      </left>
      <right/>
      <top style="thick">
        <color theme="0" tint="-0.14999847407452621"/>
      </top>
      <bottom style="thick">
        <color theme="0" tint="-0.14999847407452621"/>
      </bottom>
      <diagonal/>
    </border>
    <border>
      <left/>
      <right/>
      <top/>
      <bottom style="thick">
        <color theme="0" tint="-0.14999847407452621"/>
      </bottom>
      <diagonal/>
    </border>
    <border>
      <left/>
      <right/>
      <top/>
      <bottom style="medium">
        <color rgb="FF0070C0"/>
      </bottom>
      <diagonal/>
    </border>
    <border>
      <left/>
      <right/>
      <top style="medium">
        <color rgb="FF0070C0"/>
      </top>
      <bottom style="medium">
        <color rgb="FF0070C0"/>
      </bottom>
      <diagonal/>
    </border>
    <border>
      <left/>
      <right/>
      <top/>
      <bottom style="hair">
        <color rgb="FF0070C0"/>
      </bottom>
      <diagonal/>
    </border>
    <border>
      <left/>
      <right/>
      <top style="thin">
        <color rgb="FF0070C0"/>
      </top>
      <bottom style="thin">
        <color rgb="FF0070C0"/>
      </bottom>
      <diagonal/>
    </border>
    <border>
      <left style="medium">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top style="hair">
        <color rgb="FF0070C0"/>
      </top>
      <bottom/>
      <diagonal/>
    </border>
    <border>
      <left/>
      <right/>
      <top style="medium">
        <color rgb="FF0070C0"/>
      </top>
      <bottom style="hair">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diagonal/>
    </border>
    <border>
      <left/>
      <right/>
      <top/>
      <bottom style="thin">
        <color theme="6"/>
      </bottom>
      <diagonal/>
    </border>
    <border>
      <left/>
      <right/>
      <top style="thin">
        <color theme="6"/>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theme="6"/>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
      <left style="hair">
        <color auto="1"/>
      </left>
      <right/>
      <top/>
      <bottom style="hair">
        <color indexed="64"/>
      </bottom>
      <diagonal/>
    </border>
    <border>
      <left/>
      <right style="hair">
        <color indexed="64"/>
      </right>
      <top/>
      <bottom/>
      <diagonal/>
    </border>
    <border>
      <left/>
      <right/>
      <top style="medium">
        <color theme="6"/>
      </top>
      <bottom style="thin">
        <color indexed="64"/>
      </bottom>
      <diagonal/>
    </border>
    <border>
      <left/>
      <right/>
      <top style="thin">
        <color indexed="64"/>
      </top>
      <bottom style="thin">
        <color indexed="64"/>
      </bottom>
      <diagonal/>
    </border>
  </borders>
  <cellStyleXfs count="6">
    <xf numFmtId="0" fontId="0" fillId="0" borderId="0"/>
    <xf numFmtId="43" fontId="2" fillId="0" borderId="0" applyFont="0" applyFill="0" applyBorder="0" applyAlignment="0" applyProtection="0"/>
    <xf numFmtId="9" fontId="2" fillId="0" borderId="0" applyFont="0" applyFill="0" applyBorder="0" applyAlignment="0" applyProtection="0"/>
    <xf numFmtId="0" fontId="5" fillId="0" borderId="0"/>
    <xf numFmtId="9" fontId="5" fillId="0" borderId="0" applyFont="0" applyFill="0" applyBorder="0" applyAlignment="0" applyProtection="0"/>
    <xf numFmtId="0" fontId="6" fillId="0" borderId="0" applyNumberFormat="0" applyFill="0" applyBorder="0" applyAlignment="0" applyProtection="0"/>
  </cellStyleXfs>
  <cellXfs count="387">
    <xf numFmtId="0" fontId="0" fillId="0" borderId="0" xfId="0"/>
    <xf numFmtId="0" fontId="9" fillId="0" borderId="0" xfId="0" applyFont="1"/>
    <xf numFmtId="0" fontId="11" fillId="0" borderId="0" xfId="0" applyFont="1" applyAlignment="1">
      <alignment horizontal="center" vertical="center" wrapText="1"/>
    </xf>
    <xf numFmtId="0" fontId="10" fillId="0" borderId="0" xfId="0" applyFont="1" applyAlignment="1">
      <alignment horizontal="left" wrapText="1" indent="1"/>
    </xf>
    <xf numFmtId="0" fontId="10" fillId="0" borderId="0" xfId="0" applyFont="1" applyAlignment="1">
      <alignment horizontal="left" vertical="top" wrapText="1" indent="1"/>
    </xf>
    <xf numFmtId="0" fontId="12" fillId="0" borderId="0" xfId="5" applyFont="1" applyBorder="1" applyAlignment="1">
      <alignment horizontal="left" vertical="top" wrapText="1" indent="2"/>
    </xf>
    <xf numFmtId="0" fontId="16" fillId="0" borderId="0" xfId="0" applyFont="1"/>
    <xf numFmtId="0" fontId="10" fillId="0" borderId="0" xfId="0" applyFont="1" applyAlignment="1">
      <alignment horizontal="left"/>
    </xf>
    <xf numFmtId="0" fontId="18" fillId="0" borderId="0" xfId="0" applyFont="1"/>
    <xf numFmtId="3" fontId="20" fillId="0" borderId="0" xfId="0" applyNumberFormat="1" applyFont="1" applyAlignment="1">
      <alignment horizontal="center"/>
    </xf>
    <xf numFmtId="0" fontId="10" fillId="0" borderId="0" xfId="0" applyFont="1" applyAlignment="1">
      <alignment horizontal="center"/>
    </xf>
    <xf numFmtId="0" fontId="10" fillId="0" borderId="0" xfId="0" applyFont="1" applyAlignment="1">
      <alignment horizontal="center" wrapText="1"/>
    </xf>
    <xf numFmtId="0" fontId="10" fillId="0" borderId="20" xfId="0" applyFont="1" applyBorder="1" applyAlignment="1">
      <alignment horizontal="center" wrapText="1"/>
    </xf>
    <xf numFmtId="0" fontId="10" fillId="0" borderId="0" xfId="0" applyFont="1" applyAlignment="1">
      <alignment horizontal="right" wrapText="1"/>
    </xf>
    <xf numFmtId="0" fontId="21" fillId="0" borderId="0" xfId="0" applyFont="1" applyAlignment="1">
      <alignment horizontal="center" wrapText="1"/>
    </xf>
    <xf numFmtId="0" fontId="10" fillId="0" borderId="5" xfId="0" applyFont="1" applyBorder="1" applyAlignment="1">
      <alignment horizontal="center" wrapText="1"/>
    </xf>
    <xf numFmtId="0" fontId="5" fillId="0" borderId="0" xfId="0" applyFont="1" applyAlignment="1">
      <alignment horizontal="left"/>
    </xf>
    <xf numFmtId="0" fontId="5" fillId="0" borderId="0" xfId="0" applyFont="1"/>
    <xf numFmtId="0" fontId="10" fillId="0" borderId="0" xfId="0" applyFont="1" applyAlignment="1">
      <alignment horizontal="center" vertical="center"/>
    </xf>
    <xf numFmtId="0" fontId="10" fillId="0" borderId="22" xfId="0" applyFont="1" applyBorder="1" applyAlignment="1">
      <alignment horizontal="center" wrapText="1"/>
    </xf>
    <xf numFmtId="0" fontId="17" fillId="9" borderId="13" xfId="0" applyFont="1" applyFill="1" applyBorder="1" applyAlignment="1">
      <alignment horizontal="left"/>
    </xf>
    <xf numFmtId="0" fontId="17" fillId="9" borderId="13" xfId="0" applyFont="1" applyFill="1" applyBorder="1" applyAlignment="1">
      <alignment horizontal="center"/>
    </xf>
    <xf numFmtId="1" fontId="20" fillId="0" borderId="0" xfId="0" applyNumberFormat="1" applyFont="1" applyAlignment="1" applyProtection="1">
      <alignment horizontal="center"/>
      <protection locked="0"/>
    </xf>
    <xf numFmtId="166" fontId="20" fillId="0" borderId="0" xfId="0" applyNumberFormat="1" applyFont="1" applyAlignment="1">
      <alignment horizontal="center"/>
    </xf>
    <xf numFmtId="1" fontId="26" fillId="0" borderId="0" xfId="0" applyNumberFormat="1" applyFont="1"/>
    <xf numFmtId="0" fontId="26" fillId="0" borderId="0" xfId="0" applyFont="1"/>
    <xf numFmtId="3" fontId="20" fillId="0" borderId="2" xfId="0" applyNumberFormat="1" applyFont="1" applyBorder="1" applyAlignment="1">
      <alignment horizontal="center"/>
    </xf>
    <xf numFmtId="0" fontId="10" fillId="0" borderId="0" xfId="0" applyFont="1"/>
    <xf numFmtId="9" fontId="10" fillId="0" borderId="0" xfId="2" applyFont="1" applyAlignment="1">
      <alignment horizontal="center"/>
    </xf>
    <xf numFmtId="0" fontId="26" fillId="0" borderId="5" xfId="0" applyFont="1" applyBorder="1"/>
    <xf numFmtId="0" fontId="10" fillId="0" borderId="0" xfId="0" applyFont="1" applyAlignment="1">
      <alignment horizontal="left" wrapText="1"/>
    </xf>
    <xf numFmtId="0" fontId="9" fillId="10" borderId="26" xfId="0" applyFont="1" applyFill="1" applyBorder="1" applyAlignment="1">
      <alignment horizontal="left"/>
    </xf>
    <xf numFmtId="165" fontId="9" fillId="10" borderId="27" xfId="0" applyNumberFormat="1" applyFont="1" applyFill="1" applyBorder="1" applyAlignment="1">
      <alignment horizontal="center"/>
    </xf>
    <xf numFmtId="9" fontId="10" fillId="0" borderId="4" xfId="2" applyFont="1" applyFill="1" applyBorder="1" applyAlignment="1">
      <alignment horizontal="center"/>
    </xf>
    <xf numFmtId="9" fontId="10" fillId="0" borderId="0" xfId="2" applyFont="1" applyFill="1" applyAlignment="1">
      <alignment horizontal="center"/>
    </xf>
    <xf numFmtId="9" fontId="10" fillId="0" borderId="5" xfId="2" applyFont="1" applyFill="1" applyBorder="1" applyAlignment="1">
      <alignment horizontal="center"/>
    </xf>
    <xf numFmtId="3" fontId="20" fillId="0" borderId="4" xfId="1" applyNumberFormat="1" applyFont="1" applyFill="1" applyBorder="1" applyAlignment="1" applyProtection="1">
      <alignment horizontal="center"/>
      <protection locked="0"/>
    </xf>
    <xf numFmtId="3" fontId="20" fillId="0" borderId="0" xfId="1" applyNumberFormat="1" applyFont="1" applyFill="1" applyAlignment="1" applyProtection="1">
      <alignment horizontal="center"/>
      <protection locked="0"/>
    </xf>
    <xf numFmtId="3" fontId="20" fillId="0" borderId="5" xfId="1" applyNumberFormat="1" applyFont="1" applyFill="1" applyBorder="1" applyAlignment="1" applyProtection="1">
      <alignment horizontal="center"/>
      <protection locked="0"/>
    </xf>
    <xf numFmtId="0" fontId="10" fillId="0" borderId="20" xfId="0" applyFont="1" applyBorder="1" applyAlignment="1">
      <alignment horizontal="left" wrapText="1"/>
    </xf>
    <xf numFmtId="0" fontId="13" fillId="0" borderId="0" xfId="0" applyFont="1"/>
    <xf numFmtId="0" fontId="20" fillId="0" borderId="0" xfId="0" applyFont="1" applyAlignment="1" applyProtection="1">
      <alignment horizontal="center"/>
      <protection locked="0"/>
    </xf>
    <xf numFmtId="0" fontId="17" fillId="9" borderId="0" xfId="0" applyFont="1" applyFill="1" applyAlignment="1">
      <alignment horizontal="left"/>
    </xf>
    <xf numFmtId="0" fontId="17" fillId="9" borderId="0" xfId="0" applyFont="1" applyFill="1" applyAlignment="1">
      <alignment horizontal="center"/>
    </xf>
    <xf numFmtId="0" fontId="28" fillId="0" borderId="0" xfId="0" applyFont="1" applyAlignment="1">
      <alignment horizontal="left"/>
    </xf>
    <xf numFmtId="0" fontId="28" fillId="0" borderId="0" xfId="0" applyFont="1" applyAlignment="1">
      <alignment horizontal="center"/>
    </xf>
    <xf numFmtId="0" fontId="28" fillId="0" borderId="22" xfId="0" applyFont="1" applyBorder="1" applyAlignment="1">
      <alignment horizontal="center"/>
    </xf>
    <xf numFmtId="0" fontId="27" fillId="0" borderId="0" xfId="0" applyFont="1"/>
    <xf numFmtId="0" fontId="17" fillId="11" borderId="28" xfId="0" applyFont="1" applyFill="1" applyBorder="1" applyAlignment="1">
      <alignment horizontal="left"/>
    </xf>
    <xf numFmtId="0" fontId="10" fillId="0" borderId="5" xfId="0" applyFont="1" applyBorder="1" applyAlignment="1">
      <alignment horizontal="left" wrapText="1"/>
    </xf>
    <xf numFmtId="0" fontId="21" fillId="0" borderId="0" xfId="0" applyFont="1"/>
    <xf numFmtId="0" fontId="26" fillId="0" borderId="0" xfId="0" applyFont="1" applyAlignment="1">
      <alignment horizontal="center" vertical="top" wrapText="1"/>
    </xf>
    <xf numFmtId="0" fontId="9" fillId="0" borderId="0" xfId="0" applyFont="1" applyAlignment="1">
      <alignment horizontal="left"/>
    </xf>
    <xf numFmtId="165" fontId="9" fillId="0" borderId="0" xfId="0" applyNumberFormat="1" applyFont="1" applyAlignment="1">
      <alignment horizontal="center"/>
    </xf>
    <xf numFmtId="0" fontId="10" fillId="0" borderId="5" xfId="0" applyFont="1" applyBorder="1" applyAlignment="1">
      <alignment horizontal="center"/>
    </xf>
    <xf numFmtId="0" fontId="10" fillId="0" borderId="5" xfId="0" applyFont="1" applyBorder="1" applyAlignment="1">
      <alignment horizontal="left"/>
    </xf>
    <xf numFmtId="0" fontId="20" fillId="0" borderId="0" xfId="0" applyFont="1" applyAlignment="1">
      <alignment horizontal="center"/>
    </xf>
    <xf numFmtId="165" fontId="5" fillId="0" borderId="2" xfId="0" applyNumberFormat="1" applyFont="1" applyBorder="1" applyAlignment="1">
      <alignment horizontal="center"/>
    </xf>
    <xf numFmtId="3" fontId="5" fillId="0" borderId="0" xfId="1" applyNumberFormat="1" applyFont="1" applyFill="1" applyAlignment="1">
      <alignment horizontal="center"/>
    </xf>
    <xf numFmtId="0" fontId="24" fillId="9" borderId="0" xfId="0" applyFont="1" applyFill="1"/>
    <xf numFmtId="0" fontId="24" fillId="9" borderId="0" xfId="0" applyFont="1" applyFill="1" applyAlignment="1">
      <alignment horizontal="right"/>
    </xf>
    <xf numFmtId="3" fontId="20" fillId="0" borderId="0" xfId="1" applyNumberFormat="1" applyFont="1" applyFill="1" applyAlignment="1" applyProtection="1">
      <alignment horizontal="center"/>
    </xf>
    <xf numFmtId="0" fontId="20" fillId="0" borderId="0" xfId="0" applyFont="1" applyAlignment="1">
      <alignment horizontal="center" vertical="center"/>
    </xf>
    <xf numFmtId="0" fontId="10" fillId="0" borderId="4" xfId="0" applyFont="1" applyBorder="1" applyAlignment="1">
      <alignment horizontal="left"/>
    </xf>
    <xf numFmtId="0" fontId="10" fillId="0" borderId="32" xfId="0" applyFont="1" applyBorder="1" applyAlignment="1">
      <alignment horizontal="center" wrapText="1"/>
    </xf>
    <xf numFmtId="3" fontId="5" fillId="0" borderId="0" xfId="1" applyNumberFormat="1" applyFont="1" applyFill="1" applyBorder="1" applyAlignment="1">
      <alignment horizontal="center"/>
    </xf>
    <xf numFmtId="3" fontId="5" fillId="0" borderId="2" xfId="1" applyNumberFormat="1" applyFont="1" applyFill="1" applyBorder="1" applyAlignment="1">
      <alignment horizontal="center"/>
    </xf>
    <xf numFmtId="0" fontId="21" fillId="0" borderId="3" xfId="0" applyFont="1" applyBorder="1"/>
    <xf numFmtId="0" fontId="24" fillId="3" borderId="0" xfId="0" applyFont="1" applyFill="1" applyProtection="1">
      <protection locked="0"/>
    </xf>
    <xf numFmtId="0" fontId="24" fillId="0" borderId="0" xfId="0" applyFont="1"/>
    <xf numFmtId="0" fontId="30" fillId="0" borderId="14" xfId="0" applyFont="1" applyBorder="1" applyAlignment="1">
      <alignment horizontal="left" vertical="center" indent="3"/>
    </xf>
    <xf numFmtId="0" fontId="30" fillId="0" borderId="14" xfId="0" applyFont="1" applyBorder="1" applyAlignment="1">
      <alignment horizontal="left" vertical="center"/>
    </xf>
    <xf numFmtId="164" fontId="9" fillId="7" borderId="0" xfId="1" applyNumberFormat="1" applyFont="1" applyFill="1" applyBorder="1" applyAlignment="1" applyProtection="1">
      <alignment horizontal="left" vertical="center"/>
    </xf>
    <xf numFmtId="164" fontId="9" fillId="7" borderId="0" xfId="1" applyNumberFormat="1" applyFont="1" applyFill="1" applyBorder="1" applyAlignment="1" applyProtection="1">
      <alignment horizontal="center" vertical="center" wrapText="1"/>
    </xf>
    <xf numFmtId="164" fontId="9" fillId="7" borderId="0" xfId="1" applyNumberFormat="1" applyFont="1" applyFill="1" applyBorder="1" applyAlignment="1" applyProtection="1">
      <alignment horizontal="center" vertical="center"/>
    </xf>
    <xf numFmtId="0" fontId="9" fillId="7" borderId="0" xfId="0" applyFont="1" applyFill="1"/>
    <xf numFmtId="0" fontId="9" fillId="7" borderId="8" xfId="0" applyFont="1" applyFill="1" applyBorder="1"/>
    <xf numFmtId="0" fontId="5" fillId="7" borderId="0" xfId="0" applyFont="1" applyFill="1" applyAlignment="1">
      <alignment horizontal="left" indent="4"/>
    </xf>
    <xf numFmtId="0" fontId="5" fillId="0" borderId="0" xfId="0" applyFont="1" applyAlignment="1">
      <alignment horizontal="left" wrapText="1"/>
    </xf>
    <xf numFmtId="165" fontId="9" fillId="0" borderId="0" xfId="0" applyNumberFormat="1" applyFont="1" applyAlignment="1">
      <alignment horizontal="left"/>
    </xf>
    <xf numFmtId="1" fontId="9" fillId="0" borderId="0" xfId="0" applyNumberFormat="1" applyFont="1" applyAlignment="1">
      <alignment horizontal="center"/>
    </xf>
    <xf numFmtId="165" fontId="9" fillId="0" borderId="0" xfId="1" applyNumberFormat="1" applyFont="1" applyBorder="1" applyAlignment="1">
      <alignment horizontal="center" vertical="center"/>
    </xf>
    <xf numFmtId="0" fontId="34" fillId="0" borderId="0" xfId="0" applyFont="1"/>
    <xf numFmtId="1" fontId="20" fillId="0" borderId="0" xfId="0" applyNumberFormat="1" applyFont="1" applyAlignment="1">
      <alignment horizontal="center"/>
    </xf>
    <xf numFmtId="0" fontId="17" fillId="9" borderId="0" xfId="0" applyFont="1" applyFill="1"/>
    <xf numFmtId="164" fontId="20" fillId="0" borderId="3" xfId="1" applyNumberFormat="1" applyFont="1" applyFill="1" applyBorder="1"/>
    <xf numFmtId="164" fontId="20" fillId="0" borderId="0" xfId="1" applyNumberFormat="1" applyFont="1" applyFill="1"/>
    <xf numFmtId="164" fontId="20" fillId="0" borderId="2" xfId="1" applyNumberFormat="1" applyFont="1" applyFill="1" applyBorder="1"/>
    <xf numFmtId="0" fontId="26" fillId="0" borderId="0" xfId="0" applyFont="1" applyAlignment="1">
      <alignment wrapText="1"/>
    </xf>
    <xf numFmtId="4" fontId="20" fillId="0" borderId="0" xfId="0" applyNumberFormat="1" applyFont="1" applyAlignment="1">
      <alignment horizontal="center"/>
    </xf>
    <xf numFmtId="3" fontId="20" fillId="0" borderId="3" xfId="0" applyNumberFormat="1" applyFont="1" applyBorder="1" applyAlignment="1">
      <alignment horizontal="center"/>
    </xf>
    <xf numFmtId="3" fontId="47" fillId="2" borderId="4" xfId="1" applyNumberFormat="1" applyFont="1" applyFill="1" applyBorder="1" applyAlignment="1" applyProtection="1">
      <alignment horizontal="center"/>
    </xf>
    <xf numFmtId="3" fontId="47" fillId="2" borderId="0" xfId="1" applyNumberFormat="1" applyFont="1" applyFill="1" applyAlignment="1" applyProtection="1">
      <alignment horizontal="center"/>
    </xf>
    <xf numFmtId="3" fontId="47" fillId="2" borderId="5" xfId="1" applyNumberFormat="1" applyFont="1" applyFill="1" applyBorder="1" applyAlignment="1" applyProtection="1">
      <alignment horizontal="center"/>
    </xf>
    <xf numFmtId="0" fontId="49" fillId="0" borderId="0" xfId="0" applyFont="1"/>
    <xf numFmtId="0" fontId="9" fillId="3" borderId="2" xfId="0" applyFont="1" applyFill="1" applyBorder="1"/>
    <xf numFmtId="0" fontId="10" fillId="0" borderId="12" xfId="0" applyFont="1" applyBorder="1" applyAlignment="1">
      <alignment horizontal="center"/>
    </xf>
    <xf numFmtId="0" fontId="10" fillId="0" borderId="12" xfId="0" applyFont="1" applyBorder="1" applyAlignment="1">
      <alignment horizontal="center" wrapText="1"/>
    </xf>
    <xf numFmtId="0" fontId="10" fillId="0" borderId="12" xfId="0" applyFont="1" applyBorder="1"/>
    <xf numFmtId="0" fontId="50" fillId="0" borderId="0" xfId="0" applyFont="1"/>
    <xf numFmtId="9" fontId="29" fillId="2" borderId="0" xfId="2" applyFont="1" applyFill="1" applyBorder="1" applyAlignment="1" applyProtection="1">
      <alignment horizontal="center" vertical="center"/>
      <protection locked="0"/>
    </xf>
    <xf numFmtId="164" fontId="29" fillId="2" borderId="10" xfId="1" applyNumberFormat="1" applyFont="1" applyFill="1" applyBorder="1" applyAlignment="1" applyProtection="1">
      <alignment horizontal="right" vertical="center"/>
      <protection locked="0"/>
    </xf>
    <xf numFmtId="165" fontId="33" fillId="8" borderId="17" xfId="0" applyNumberFormat="1" applyFont="1" applyFill="1" applyBorder="1" applyAlignment="1">
      <alignment horizontal="right" vertical="center"/>
    </xf>
    <xf numFmtId="165" fontId="33" fillId="8" borderId="14" xfId="0" applyNumberFormat="1" applyFont="1" applyFill="1" applyBorder="1" applyAlignment="1">
      <alignment horizontal="left" vertical="center"/>
    </xf>
    <xf numFmtId="0" fontId="51" fillId="0" borderId="0" xfId="0" applyFont="1"/>
    <xf numFmtId="0" fontId="52" fillId="0" borderId="0" xfId="0" applyFont="1" applyAlignment="1">
      <alignment vertical="top"/>
    </xf>
    <xf numFmtId="0" fontId="51" fillId="0" borderId="2" xfId="0" applyFont="1" applyBorder="1"/>
    <xf numFmtId="165" fontId="20" fillId="0" borderId="0" xfId="1" applyNumberFormat="1" applyFont="1" applyFill="1" applyBorder="1" applyAlignment="1" applyProtection="1">
      <alignment horizontal="center" vertical="center"/>
    </xf>
    <xf numFmtId="1" fontId="20" fillId="0" borderId="0" xfId="1" applyNumberFormat="1" applyFont="1" applyFill="1" applyBorder="1" applyAlignment="1" applyProtection="1">
      <alignment horizontal="center" vertical="center"/>
    </xf>
    <xf numFmtId="0" fontId="34" fillId="0" borderId="0" xfId="0" applyFont="1" applyAlignment="1">
      <alignment horizontal="left" vertical="center" wrapText="1"/>
    </xf>
    <xf numFmtId="3" fontId="42" fillId="0" borderId="0" xfId="1" applyNumberFormat="1" applyFont="1" applyFill="1" applyAlignment="1" applyProtection="1">
      <alignment horizontal="left" vertical="center" wrapText="1"/>
    </xf>
    <xf numFmtId="0" fontId="41" fillId="0" borderId="0" xfId="5" applyFont="1" applyFill="1" applyAlignment="1" applyProtection="1">
      <alignment horizontal="left" vertical="center" wrapText="1"/>
    </xf>
    <xf numFmtId="0" fontId="37" fillId="0" borderId="0" xfId="0" applyFont="1"/>
    <xf numFmtId="0" fontId="38" fillId="0" borderId="0" xfId="0" applyFont="1" applyAlignment="1">
      <alignment horizontal="left" vertical="center" indent="3"/>
    </xf>
    <xf numFmtId="0" fontId="46" fillId="11" borderId="28" xfId="0" applyFont="1" applyFill="1" applyBorder="1" applyAlignment="1">
      <alignment horizontal="left"/>
    </xf>
    <xf numFmtId="0" fontId="39" fillId="0" borderId="34" xfId="0" applyFont="1" applyBorder="1"/>
    <xf numFmtId="0" fontId="40" fillId="0" borderId="34" xfId="0" applyFont="1" applyBorder="1" applyAlignment="1">
      <alignment horizontal="center"/>
    </xf>
    <xf numFmtId="0" fontId="40" fillId="0" borderId="34" xfId="0" applyFont="1" applyBorder="1" applyAlignment="1">
      <alignment horizontal="center" wrapText="1"/>
    </xf>
    <xf numFmtId="0" fontId="40" fillId="0" borderId="34" xfId="0" applyFont="1" applyBorder="1" applyAlignment="1">
      <alignment horizontal="left"/>
    </xf>
    <xf numFmtId="0" fontId="8" fillId="0" borderId="15" xfId="0" applyFont="1" applyBorder="1"/>
    <xf numFmtId="0" fontId="34" fillId="0" borderId="0" xfId="0" applyFont="1" applyAlignment="1">
      <alignment horizontal="left"/>
    </xf>
    <xf numFmtId="1" fontId="47" fillId="2" borderId="0" xfId="0" applyNumberFormat="1" applyFont="1" applyFill="1" applyAlignment="1">
      <alignment horizontal="center" vertical="center"/>
    </xf>
    <xf numFmtId="0" fontId="48" fillId="0" borderId="15" xfId="0" applyFont="1" applyBorder="1"/>
    <xf numFmtId="0" fontId="34" fillId="0" borderId="0" xfId="0" applyFont="1" applyAlignment="1">
      <alignment horizontal="left" vertical="center"/>
    </xf>
    <xf numFmtId="166" fontId="47" fillId="2" borderId="0" xfId="0" applyNumberFormat="1" applyFont="1" applyFill="1" applyAlignment="1">
      <alignment horizontal="center" vertical="center"/>
    </xf>
    <xf numFmtId="170" fontId="47" fillId="2" borderId="0" xfId="0" applyNumberFormat="1" applyFont="1" applyFill="1" applyAlignment="1">
      <alignment horizontal="center" vertical="center"/>
    </xf>
    <xf numFmtId="3" fontId="47" fillId="2" borderId="0" xfId="0" applyNumberFormat="1" applyFont="1" applyFill="1" applyAlignment="1">
      <alignment horizontal="center" vertical="center"/>
    </xf>
    <xf numFmtId="0" fontId="8" fillId="0" borderId="15" xfId="0" applyFont="1" applyBorder="1" applyAlignment="1">
      <alignment vertical="center"/>
    </xf>
    <xf numFmtId="3" fontId="47" fillId="2" borderId="0" xfId="1" applyNumberFormat="1" applyFont="1" applyFill="1" applyAlignment="1" applyProtection="1">
      <alignment horizontal="center" vertical="center"/>
    </xf>
    <xf numFmtId="0" fontId="34" fillId="0" borderId="0" xfId="0" applyFont="1" applyAlignment="1">
      <alignment vertical="center"/>
    </xf>
    <xf numFmtId="0" fontId="47" fillId="2" borderId="0" xfId="0" applyFont="1" applyFill="1" applyAlignment="1">
      <alignment horizontal="center" vertical="center"/>
    </xf>
    <xf numFmtId="2" fontId="47" fillId="2" borderId="0" xfId="0" applyNumberFormat="1" applyFont="1" applyFill="1" applyAlignment="1">
      <alignment horizontal="center" vertical="center"/>
    </xf>
    <xf numFmtId="2" fontId="34" fillId="0" borderId="0" xfId="0" applyNumberFormat="1" applyFont="1" applyAlignment="1">
      <alignment horizontal="center" vertical="center"/>
    </xf>
    <xf numFmtId="0" fontId="48" fillId="0" borderId="15" xfId="0" applyFont="1" applyBorder="1" applyAlignment="1">
      <alignment vertical="center"/>
    </xf>
    <xf numFmtId="4" fontId="47" fillId="2" borderId="0" xfId="0" applyNumberFormat="1" applyFont="1" applyFill="1" applyAlignment="1">
      <alignment horizontal="center" vertical="center"/>
    </xf>
    <xf numFmtId="0" fontId="46" fillId="0" borderId="0" xfId="0" applyFont="1" applyAlignment="1">
      <alignment horizontal="left"/>
    </xf>
    <xf numFmtId="0" fontId="39" fillId="0" borderId="2" xfId="0" applyFont="1" applyBorder="1"/>
    <xf numFmtId="0" fontId="40" fillId="0" borderId="2" xfId="0" applyFont="1" applyBorder="1" applyAlignment="1">
      <alignment horizontal="center"/>
    </xf>
    <xf numFmtId="0" fontId="40" fillId="0" borderId="2" xfId="0" applyFont="1" applyBorder="1" applyAlignment="1">
      <alignment horizontal="center" wrapText="1"/>
    </xf>
    <xf numFmtId="0" fontId="7" fillId="0" borderId="0" xfId="0" applyFont="1" applyAlignment="1">
      <alignment horizontal="center"/>
    </xf>
    <xf numFmtId="0" fontId="35" fillId="0" borderId="0" xfId="0" applyFont="1" applyAlignment="1">
      <alignment horizontal="left"/>
    </xf>
    <xf numFmtId="0" fontId="35" fillId="0" borderId="0" xfId="0" applyFont="1" applyAlignment="1">
      <alignment horizontal="center"/>
    </xf>
    <xf numFmtId="168" fontId="47" fillId="2" borderId="0" xfId="0" applyNumberFormat="1" applyFont="1" applyFill="1" applyAlignment="1">
      <alignment horizontal="center" vertical="center"/>
    </xf>
    <xf numFmtId="0" fontId="47" fillId="0" borderId="0" xfId="0" applyFont="1"/>
    <xf numFmtId="165" fontId="47" fillId="2" borderId="0" xfId="0" applyNumberFormat="1" applyFont="1" applyFill="1" applyAlignment="1">
      <alignment horizontal="center" vertical="center"/>
    </xf>
    <xf numFmtId="0" fontId="43" fillId="0" borderId="0" xfId="0" applyFont="1" applyAlignment="1">
      <alignment horizontal="center" wrapText="1"/>
    </xf>
    <xf numFmtId="0" fontId="34" fillId="0" borderId="4" xfId="0" applyFont="1" applyBorder="1" applyAlignment="1">
      <alignment horizontal="left"/>
    </xf>
    <xf numFmtId="0" fontId="34" fillId="0" borderId="5" xfId="0" applyFont="1" applyBorder="1" applyAlignment="1">
      <alignment horizontal="left"/>
    </xf>
    <xf numFmtId="0" fontId="40" fillId="0" borderId="0" xfId="0" applyFont="1" applyAlignment="1">
      <alignment horizontal="right"/>
    </xf>
    <xf numFmtId="171" fontId="20" fillId="0" borderId="4" xfId="1" applyNumberFormat="1" applyFont="1" applyFill="1" applyBorder="1" applyAlignment="1" applyProtection="1">
      <alignment horizontal="center"/>
      <protection locked="0"/>
    </xf>
    <xf numFmtId="171" fontId="20" fillId="0" borderId="0" xfId="1" applyNumberFormat="1" applyFont="1" applyFill="1" applyAlignment="1" applyProtection="1">
      <alignment horizontal="center"/>
      <protection locked="0"/>
    </xf>
    <xf numFmtId="171" fontId="20" fillId="0" borderId="5" xfId="1" applyNumberFormat="1" applyFont="1" applyFill="1" applyBorder="1" applyAlignment="1" applyProtection="1">
      <alignment horizontal="center"/>
      <protection locked="0"/>
    </xf>
    <xf numFmtId="171" fontId="47" fillId="2" borderId="4" xfId="1" applyNumberFormat="1" applyFont="1" applyFill="1" applyBorder="1" applyAlignment="1" applyProtection="1">
      <alignment horizontal="center"/>
    </xf>
    <xf numFmtId="171" fontId="47" fillId="2" borderId="0" xfId="1" applyNumberFormat="1" applyFont="1" applyFill="1" applyAlignment="1" applyProtection="1">
      <alignment horizontal="center"/>
    </xf>
    <xf numFmtId="171" fontId="47" fillId="2" borderId="5" xfId="1" applyNumberFormat="1" applyFont="1" applyFill="1" applyBorder="1" applyAlignment="1" applyProtection="1">
      <alignment horizontal="center"/>
    </xf>
    <xf numFmtId="0" fontId="8" fillId="0" borderId="15" xfId="0" applyFont="1" applyBorder="1" applyAlignment="1">
      <alignment horizontal="left"/>
    </xf>
    <xf numFmtId="1" fontId="34" fillId="0" borderId="0" xfId="0" applyNumberFormat="1" applyFont="1" applyAlignment="1">
      <alignment horizontal="left" vertical="center"/>
    </xf>
    <xf numFmtId="3" fontId="34" fillId="0" borderId="0" xfId="0" applyNumberFormat="1" applyFont="1" applyAlignment="1">
      <alignment horizontal="left" vertical="center"/>
    </xf>
    <xf numFmtId="0" fontId="8" fillId="0" borderId="15" xfId="0" applyFont="1" applyBorder="1" applyAlignment="1">
      <alignment horizontal="left" vertical="center"/>
    </xf>
    <xf numFmtId="0" fontId="40" fillId="0" borderId="2" xfId="0" applyFont="1" applyBorder="1" applyAlignment="1">
      <alignment horizontal="left"/>
    </xf>
    <xf numFmtId="3" fontId="34" fillId="0" borderId="0" xfId="0" applyNumberFormat="1" applyFont="1" applyAlignment="1">
      <alignment horizontal="left" vertical="center" wrapText="1"/>
    </xf>
    <xf numFmtId="165" fontId="34" fillId="0" borderId="0" xfId="0" applyNumberFormat="1" applyFont="1" applyAlignment="1">
      <alignment horizontal="left" vertical="center" wrapText="1"/>
    </xf>
    <xf numFmtId="172" fontId="47" fillId="2" borderId="0" xfId="0" applyNumberFormat="1" applyFont="1" applyFill="1" applyAlignment="1">
      <alignment horizontal="center" vertical="center"/>
    </xf>
    <xf numFmtId="172" fontId="20" fillId="0" borderId="0" xfId="0" applyNumberFormat="1" applyFont="1" applyAlignment="1">
      <alignment horizontal="center"/>
    </xf>
    <xf numFmtId="0" fontId="10" fillId="0" borderId="2" xfId="0" applyFont="1" applyBorder="1" applyAlignment="1">
      <alignment horizontal="left"/>
    </xf>
    <xf numFmtId="172" fontId="47" fillId="2" borderId="0" xfId="0" applyNumberFormat="1" applyFont="1" applyFill="1" applyAlignment="1">
      <alignment horizontal="center"/>
    </xf>
    <xf numFmtId="2" fontId="20" fillId="0" borderId="0" xfId="0" applyNumberFormat="1" applyFont="1" applyAlignment="1">
      <alignment horizontal="center"/>
    </xf>
    <xf numFmtId="0" fontId="42" fillId="0" borderId="0" xfId="0" applyFont="1"/>
    <xf numFmtId="0" fontId="9" fillId="0" borderId="0" xfId="0" applyFont="1" applyAlignment="1">
      <alignment horizontal="center"/>
    </xf>
    <xf numFmtId="0" fontId="10" fillId="0" borderId="0" xfId="0" applyFont="1" applyAlignment="1">
      <alignment horizontal="left" vertical="center" wrapText="1" indent="1"/>
    </xf>
    <xf numFmtId="4" fontId="53" fillId="0" borderId="0" xfId="0" applyNumberFormat="1" applyFont="1" applyAlignment="1">
      <alignment horizontal="left" vertical="center"/>
    </xf>
    <xf numFmtId="0" fontId="54" fillId="0" borderId="0" xfId="0" applyFont="1"/>
    <xf numFmtId="0" fontId="5" fillId="7" borderId="0" xfId="0" applyFont="1" applyFill="1" applyAlignment="1">
      <alignment horizontal="left" wrapText="1" indent="4"/>
    </xf>
    <xf numFmtId="3" fontId="29" fillId="2" borderId="0" xfId="1" applyNumberFormat="1" applyFont="1" applyFill="1" applyAlignment="1">
      <alignment horizontal="center"/>
    </xf>
    <xf numFmtId="3" fontId="29" fillId="2" borderId="2" xfId="1" applyNumberFormat="1" applyFont="1" applyFill="1" applyBorder="1" applyAlignment="1">
      <alignment horizontal="center"/>
    </xf>
    <xf numFmtId="3" fontId="29" fillId="2" borderId="0" xfId="1" applyNumberFormat="1" applyFont="1" applyFill="1" applyBorder="1" applyAlignment="1">
      <alignment horizontal="center"/>
    </xf>
    <xf numFmtId="9" fontId="29" fillId="2" borderId="0" xfId="0" applyNumberFormat="1" applyFont="1" applyFill="1" applyAlignment="1">
      <alignment horizontal="center"/>
    </xf>
    <xf numFmtId="9" fontId="29" fillId="2" borderId="2" xfId="0" applyNumberFormat="1" applyFont="1" applyFill="1" applyBorder="1" applyAlignment="1">
      <alignment horizontal="center"/>
    </xf>
    <xf numFmtId="165" fontId="9" fillId="0" borderId="16" xfId="0" applyNumberFormat="1" applyFont="1" applyBorder="1" applyAlignment="1">
      <alignment horizontal="center" vertical="center"/>
    </xf>
    <xf numFmtId="1" fontId="9" fillId="0" borderId="16" xfId="0" applyNumberFormat="1" applyFont="1" applyBorder="1" applyAlignment="1">
      <alignment horizontal="center" vertical="center"/>
    </xf>
    <xf numFmtId="164" fontId="29" fillId="2" borderId="7" xfId="1" applyNumberFormat="1" applyFont="1" applyFill="1" applyBorder="1" applyAlignment="1" applyProtection="1">
      <alignment horizontal="right" vertical="center"/>
      <protection locked="0"/>
    </xf>
    <xf numFmtId="0" fontId="30" fillId="0" borderId="0" xfId="0" applyFont="1" applyAlignment="1">
      <alignment horizontal="left" vertical="center"/>
    </xf>
    <xf numFmtId="0" fontId="30" fillId="0" borderId="0" xfId="0" applyFont="1" applyAlignment="1">
      <alignment horizontal="left" vertical="center" indent="3"/>
    </xf>
    <xf numFmtId="165" fontId="33" fillId="0" borderId="0" xfId="0" applyNumberFormat="1" applyFont="1" applyAlignment="1">
      <alignment horizontal="right" vertical="center"/>
    </xf>
    <xf numFmtId="165" fontId="33" fillId="0" borderId="0" xfId="0" applyNumberFormat="1" applyFont="1" applyAlignment="1">
      <alignment horizontal="left" vertical="center"/>
    </xf>
    <xf numFmtId="0" fontId="10" fillId="0" borderId="0" xfId="0" applyFont="1" applyAlignment="1">
      <alignment horizontal="left" vertical="center" indent="3"/>
    </xf>
    <xf numFmtId="0" fontId="26" fillId="0" borderId="2" xfId="0" applyFont="1" applyBorder="1"/>
    <xf numFmtId="0" fontId="27" fillId="0" borderId="29" xfId="0" applyFont="1" applyBorder="1" applyAlignment="1">
      <alignment horizontal="left" vertical="center" wrapText="1" indent="2"/>
    </xf>
    <xf numFmtId="0" fontId="55" fillId="0" borderId="0" xfId="0" applyFont="1"/>
    <xf numFmtId="3" fontId="21" fillId="0" borderId="0" xfId="0" applyNumberFormat="1" applyFont="1" applyAlignment="1">
      <alignment horizontal="left"/>
    </xf>
    <xf numFmtId="0" fontId="26" fillId="0" borderId="0" xfId="0" quotePrefix="1" applyFont="1"/>
    <xf numFmtId="0" fontId="56" fillId="0" borderId="0" xfId="0" applyFont="1"/>
    <xf numFmtId="0" fontId="56" fillId="0" borderId="15" xfId="0" applyFont="1" applyBorder="1" applyAlignment="1">
      <alignment horizontal="left" vertical="center" wrapText="1"/>
    </xf>
    <xf numFmtId="0" fontId="56" fillId="0" borderId="0" xfId="0" applyFont="1" applyAlignment="1">
      <alignment horizontal="left"/>
    </xf>
    <xf numFmtId="3" fontId="56" fillId="0" borderId="0" xfId="0" applyNumberFormat="1" applyFont="1" applyAlignment="1">
      <alignment horizontal="left"/>
    </xf>
    <xf numFmtId="0" fontId="58" fillId="0" borderId="0" xfId="0" applyFont="1" applyAlignment="1">
      <alignment vertical="center"/>
    </xf>
    <xf numFmtId="3" fontId="58" fillId="0" borderId="0" xfId="0" applyNumberFormat="1" applyFont="1" applyAlignment="1">
      <alignment vertical="center"/>
    </xf>
    <xf numFmtId="0" fontId="58" fillId="0" borderId="0" xfId="0" applyFont="1"/>
    <xf numFmtId="165" fontId="20" fillId="0" borderId="0" xfId="1" applyNumberFormat="1" applyFont="1" applyAlignment="1">
      <alignment horizontal="center" vertical="center"/>
    </xf>
    <xf numFmtId="165" fontId="20" fillId="0" borderId="0" xfId="0" applyNumberFormat="1" applyFont="1" applyAlignment="1">
      <alignment horizontal="center" vertical="center"/>
    </xf>
    <xf numFmtId="43" fontId="29" fillId="2" borderId="7" xfId="1" applyFont="1" applyFill="1" applyBorder="1" applyAlignment="1" applyProtection="1">
      <alignment horizontal="right" vertical="center"/>
      <protection locked="0"/>
    </xf>
    <xf numFmtId="3" fontId="34" fillId="0" borderId="0" xfId="1" applyNumberFormat="1" applyFont="1" applyFill="1" applyAlignment="1" applyProtection="1">
      <alignment horizontal="left" vertical="top"/>
    </xf>
    <xf numFmtId="0" fontId="26" fillId="0" borderId="0" xfId="0" applyFont="1" applyAlignment="1">
      <alignment horizontal="center" vertical="top"/>
    </xf>
    <xf numFmtId="0" fontId="10" fillId="0" borderId="0" xfId="0" applyFont="1" applyAlignment="1">
      <alignment horizontal="center" vertical="center" wrapText="1"/>
    </xf>
    <xf numFmtId="0" fontId="56" fillId="0" borderId="0" xfId="0" applyFont="1" applyAlignment="1">
      <alignment horizontal="left" wrapText="1"/>
    </xf>
    <xf numFmtId="0" fontId="42" fillId="0" borderId="0" xfId="0" applyFont="1" applyAlignment="1">
      <alignment horizontal="left" vertical="center" wrapText="1"/>
    </xf>
    <xf numFmtId="0" fontId="56" fillId="0" borderId="0" xfId="0" applyFont="1" applyAlignment="1">
      <alignment horizontal="left" vertical="center" wrapText="1"/>
    </xf>
    <xf numFmtId="0" fontId="24" fillId="9" borderId="0" xfId="0" applyFont="1" applyFill="1" applyAlignment="1">
      <alignment horizontal="left"/>
    </xf>
    <xf numFmtId="165" fontId="59" fillId="0" borderId="0" xfId="0" applyNumberFormat="1" applyFont="1" applyAlignment="1">
      <alignment horizontal="left" vertical="center" wrapText="1"/>
    </xf>
    <xf numFmtId="0" fontId="61" fillId="0" borderId="0" xfId="0" applyFont="1" applyAlignment="1">
      <alignment horizontal="left" wrapText="1"/>
    </xf>
    <xf numFmtId="0" fontId="35" fillId="0" borderId="0" xfId="0" applyFont="1" applyAlignment="1">
      <alignment horizontal="center" vertical="center" wrapText="1"/>
    </xf>
    <xf numFmtId="0" fontId="26" fillId="0" borderId="5" xfId="0" quotePrefix="1" applyFont="1" applyBorder="1"/>
    <xf numFmtId="0" fontId="62" fillId="0" borderId="0" xfId="0" applyFont="1" applyAlignment="1">
      <alignment horizontal="center" wrapText="1"/>
    </xf>
    <xf numFmtId="0" fontId="62" fillId="0" borderId="0" xfId="0" applyFont="1" applyAlignment="1">
      <alignment horizontal="left" vertical="top" wrapText="1"/>
    </xf>
    <xf numFmtId="3" fontId="66" fillId="0" borderId="0" xfId="5" applyNumberFormat="1" applyFont="1" applyFill="1" applyAlignment="1" applyProtection="1">
      <alignment horizontal="left" vertical="center" wrapText="1"/>
    </xf>
    <xf numFmtId="0" fontId="50" fillId="0" borderId="1" xfId="0" applyFont="1" applyBorder="1" applyAlignment="1">
      <alignment horizontal="center" vertical="center"/>
    </xf>
    <xf numFmtId="15" fontId="50" fillId="0" borderId="1" xfId="0" applyNumberFormat="1" applyFont="1" applyBorder="1" applyAlignment="1">
      <alignment horizontal="center" vertical="center"/>
    </xf>
    <xf numFmtId="3" fontId="20" fillId="0" borderId="0" xfId="1" applyNumberFormat="1" applyFont="1" applyFill="1" applyAlignment="1" applyProtection="1">
      <alignment horizontal="center" vertical="top"/>
    </xf>
    <xf numFmtId="3" fontId="20" fillId="0" borderId="4" xfId="0" applyNumberFormat="1" applyFont="1" applyBorder="1" applyAlignment="1">
      <alignment horizontal="center"/>
    </xf>
    <xf numFmtId="3" fontId="20" fillId="0" borderId="5" xfId="0" applyNumberFormat="1" applyFont="1" applyBorder="1" applyAlignment="1">
      <alignment horizontal="center"/>
    </xf>
    <xf numFmtId="0" fontId="41" fillId="0" borderId="0" xfId="5" applyFont="1" applyAlignment="1">
      <alignment wrapText="1"/>
    </xf>
    <xf numFmtId="0" fontId="17" fillId="0" borderId="0" xfId="0" applyFont="1" applyAlignment="1">
      <alignment horizontal="left"/>
    </xf>
    <xf numFmtId="0" fontId="1" fillId="0" borderId="0" xfId="0" applyFont="1"/>
    <xf numFmtId="0" fontId="1" fillId="0" borderId="0" xfId="0" applyFont="1" applyAlignment="1">
      <alignment vertical="top" wrapText="1"/>
    </xf>
    <xf numFmtId="0" fontId="1" fillId="0" borderId="0" xfId="0" applyFont="1" applyAlignment="1">
      <alignment wrapText="1"/>
    </xf>
    <xf numFmtId="0" fontId="1" fillId="0" borderId="25" xfId="0" applyFont="1" applyBorder="1" applyAlignment="1">
      <alignment horizontal="left" vertical="top" wrapText="1" indent="1"/>
    </xf>
    <xf numFmtId="0" fontId="1" fillId="0" borderId="24" xfId="0" applyFont="1" applyBorder="1" applyAlignment="1">
      <alignment vertical="top" wrapText="1"/>
    </xf>
    <xf numFmtId="0" fontId="1" fillId="0" borderId="25" xfId="0" applyFont="1" applyBorder="1" applyAlignment="1">
      <alignment wrapText="1"/>
    </xf>
    <xf numFmtId="0" fontId="1" fillId="0" borderId="24" xfId="0" applyFont="1" applyBorder="1" applyAlignment="1">
      <alignment wrapText="1"/>
    </xf>
    <xf numFmtId="0" fontId="1" fillId="0" borderId="25" xfId="0" applyFont="1" applyBorder="1" applyAlignment="1">
      <alignment vertical="top" wrapText="1"/>
    </xf>
    <xf numFmtId="0" fontId="1" fillId="0" borderId="0" xfId="0" applyFont="1" applyAlignment="1">
      <alignment vertical="top"/>
    </xf>
    <xf numFmtId="0" fontId="1" fillId="2" borderId="1" xfId="0" applyFont="1" applyFill="1" applyBorder="1"/>
    <xf numFmtId="0" fontId="1" fillId="4" borderId="1" xfId="0" applyFont="1" applyFill="1" applyBorder="1"/>
    <xf numFmtId="0" fontId="1" fillId="5" borderId="1" xfId="0" applyFont="1" applyFill="1" applyBorder="1"/>
    <xf numFmtId="0" fontId="1" fillId="6" borderId="1" xfId="0" applyFont="1" applyFill="1" applyBorder="1"/>
    <xf numFmtId="0" fontId="1" fillId="0" borderId="0" xfId="0" applyFont="1" applyAlignment="1">
      <alignment horizontal="left" vertical="center" indent="3"/>
    </xf>
    <xf numFmtId="165" fontId="1" fillId="8" borderId="18" xfId="0" applyNumberFormat="1" applyFont="1" applyFill="1" applyBorder="1" applyAlignment="1">
      <alignment horizontal="left" vertical="center"/>
    </xf>
    <xf numFmtId="0" fontId="1" fillId="0" borderId="14" xfId="0" applyFont="1" applyBorder="1" applyAlignment="1">
      <alignment vertical="center"/>
    </xf>
    <xf numFmtId="0" fontId="1" fillId="0" borderId="18" xfId="0" applyFont="1" applyBorder="1" applyAlignment="1">
      <alignment vertical="center"/>
    </xf>
    <xf numFmtId="165" fontId="1" fillId="0" borderId="0" xfId="0" applyNumberFormat="1" applyFont="1" applyAlignment="1">
      <alignment horizontal="left" vertical="center"/>
    </xf>
    <xf numFmtId="0" fontId="1" fillId="0" borderId="0" xfId="0" applyFont="1" applyAlignment="1">
      <alignment vertical="center"/>
    </xf>
    <xf numFmtId="0" fontId="1" fillId="0" borderId="0" xfId="0" applyFont="1" applyAlignment="1">
      <alignment horizontal="center"/>
    </xf>
    <xf numFmtId="164" fontId="1" fillId="7" borderId="7" xfId="1" applyNumberFormat="1" applyFont="1" applyFill="1" applyBorder="1" applyAlignment="1" applyProtection="1">
      <alignment horizontal="left"/>
    </xf>
    <xf numFmtId="0" fontId="1" fillId="7" borderId="0" xfId="0" applyFont="1" applyFill="1" applyAlignment="1">
      <alignment horizontal="left" indent="4"/>
    </xf>
    <xf numFmtId="0" fontId="1" fillId="0" borderId="0" xfId="0" applyFont="1" applyAlignment="1">
      <alignment horizontal="center" vertical="center"/>
    </xf>
    <xf numFmtId="165" fontId="1" fillId="0" borderId="0" xfId="1" applyNumberFormat="1" applyFont="1" applyFill="1" applyBorder="1" applyAlignment="1" applyProtection="1">
      <alignment horizontal="center" vertical="center"/>
    </xf>
    <xf numFmtId="164" fontId="1" fillId="7" borderId="7" xfId="1" applyNumberFormat="1" applyFont="1" applyFill="1" applyBorder="1" applyAlignment="1" applyProtection="1">
      <alignment horizontal="left" vertical="center"/>
    </xf>
    <xf numFmtId="0" fontId="1" fillId="0" borderId="0" xfId="0" applyFont="1" applyAlignment="1">
      <alignment horizontal="left"/>
    </xf>
    <xf numFmtId="0" fontId="1" fillId="0" borderId="6" xfId="0" applyFont="1" applyBorder="1" applyAlignment="1">
      <alignment horizontal="center" vertical="center"/>
    </xf>
    <xf numFmtId="0" fontId="1" fillId="0" borderId="2" xfId="0" applyFont="1" applyBorder="1" applyAlignment="1">
      <alignment horizontal="center"/>
    </xf>
    <xf numFmtId="0" fontId="1" fillId="0" borderId="2" xfId="0" applyFont="1" applyBorder="1"/>
    <xf numFmtId="0" fontId="1" fillId="0" borderId="3" xfId="0" applyFont="1" applyBorder="1"/>
    <xf numFmtId="0" fontId="1" fillId="7" borderId="11" xfId="0" applyFont="1" applyFill="1" applyBorder="1"/>
    <xf numFmtId="0" fontId="1" fillId="0" borderId="9" xfId="0" applyFont="1" applyBorder="1"/>
    <xf numFmtId="0" fontId="1" fillId="0" borderId="12" xfId="0" applyFont="1" applyBorder="1"/>
    <xf numFmtId="3" fontId="1" fillId="0" borderId="0" xfId="0" applyNumberFormat="1" applyFont="1" applyAlignment="1">
      <alignment vertical="center"/>
    </xf>
    <xf numFmtId="0" fontId="1" fillId="0" borderId="0" xfId="0" applyFont="1" applyAlignment="1">
      <alignment horizontal="center" vertical="center" wrapText="1"/>
    </xf>
    <xf numFmtId="2" fontId="1" fillId="0" borderId="0" xfId="0" applyNumberFormat="1" applyFont="1"/>
    <xf numFmtId="165" fontId="1" fillId="0" borderId="0" xfId="0" applyNumberFormat="1" applyFont="1" applyAlignment="1">
      <alignment horizontal="center"/>
    </xf>
    <xf numFmtId="0" fontId="1" fillId="0" borderId="2" xfId="0" applyFont="1" applyBorder="1" applyAlignment="1">
      <alignment horizontal="left"/>
    </xf>
    <xf numFmtId="1" fontId="1" fillId="0" borderId="2" xfId="0" applyNumberFormat="1" applyFont="1" applyBorder="1" applyAlignment="1">
      <alignment horizontal="center"/>
    </xf>
    <xf numFmtId="0" fontId="1" fillId="0" borderId="5" xfId="0" applyFont="1" applyBorder="1"/>
    <xf numFmtId="0" fontId="1" fillId="0" borderId="0" xfId="0" applyFont="1" applyAlignment="1">
      <alignment horizontal="left" indent="1"/>
    </xf>
    <xf numFmtId="0" fontId="1" fillId="0" borderId="2" xfId="0" applyFont="1" applyBorder="1" applyAlignment="1">
      <alignment horizontal="left" indent="1"/>
    </xf>
    <xf numFmtId="3" fontId="1" fillId="0" borderId="0" xfId="0" applyNumberFormat="1" applyFont="1" applyAlignment="1">
      <alignment horizontal="center"/>
    </xf>
    <xf numFmtId="1" fontId="1" fillId="0" borderId="2" xfId="0" applyNumberFormat="1" applyFont="1" applyBorder="1"/>
    <xf numFmtId="1" fontId="1" fillId="0" borderId="0" xfId="0" applyNumberFormat="1" applyFont="1"/>
    <xf numFmtId="1" fontId="1" fillId="0" borderId="0" xfId="0" applyNumberFormat="1" applyFont="1" applyAlignment="1">
      <alignment horizontal="center"/>
    </xf>
    <xf numFmtId="3" fontId="1" fillId="0" borderId="0" xfId="0" applyNumberFormat="1" applyFont="1"/>
    <xf numFmtId="0" fontId="1" fillId="0" borderId="4"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right"/>
    </xf>
    <xf numFmtId="41" fontId="1" fillId="0" borderId="0" xfId="0" applyNumberFormat="1" applyFont="1" applyAlignment="1">
      <alignment horizontal="right"/>
    </xf>
    <xf numFmtId="167" fontId="1" fillId="0" borderId="0" xfId="0" applyNumberFormat="1" applyFont="1" applyAlignment="1">
      <alignment horizontal="right"/>
    </xf>
    <xf numFmtId="167" fontId="1" fillId="0" borderId="5" xfId="0" applyNumberFormat="1" applyFont="1" applyBorder="1" applyAlignment="1">
      <alignment horizontal="right"/>
    </xf>
    <xf numFmtId="3" fontId="1" fillId="0" borderId="4" xfId="0" applyNumberFormat="1" applyFont="1" applyBorder="1" applyAlignment="1">
      <alignment horizontal="center"/>
    </xf>
    <xf numFmtId="3" fontId="1" fillId="0" borderId="5" xfId="0" applyNumberFormat="1" applyFont="1" applyBorder="1" applyAlignment="1">
      <alignment horizontal="center"/>
    </xf>
    <xf numFmtId="169" fontId="1" fillId="0" borderId="4" xfId="0" applyNumberFormat="1" applyFont="1" applyBorder="1" applyAlignment="1">
      <alignment horizontal="center"/>
    </xf>
    <xf numFmtId="169" fontId="1" fillId="0" borderId="0" xfId="0" applyNumberFormat="1" applyFont="1" applyAlignment="1">
      <alignment horizontal="center"/>
    </xf>
    <xf numFmtId="169" fontId="1" fillId="0" borderId="5" xfId="0" applyNumberFormat="1" applyFont="1" applyBorder="1" applyAlignment="1">
      <alignment horizontal="center"/>
    </xf>
    <xf numFmtId="41" fontId="1" fillId="0" borderId="0" xfId="0" applyNumberFormat="1" applyFont="1"/>
    <xf numFmtId="4" fontId="1" fillId="0" borderId="4" xfId="0" applyNumberFormat="1" applyFont="1" applyBorder="1" applyAlignment="1">
      <alignment horizontal="center"/>
    </xf>
    <xf numFmtId="4" fontId="1" fillId="0" borderId="0" xfId="0" applyNumberFormat="1" applyFont="1" applyAlignment="1">
      <alignment horizontal="center"/>
    </xf>
    <xf numFmtId="4" fontId="1" fillId="0" borderId="5" xfId="0" applyNumberFormat="1" applyFont="1" applyBorder="1" applyAlignment="1">
      <alignment horizontal="center"/>
    </xf>
    <xf numFmtId="3" fontId="1" fillId="0" borderId="15" xfId="0" applyNumberFormat="1" applyFont="1" applyBorder="1" applyAlignment="1">
      <alignment horizontal="center" vertical="center"/>
    </xf>
    <xf numFmtId="3" fontId="1" fillId="0" borderId="0" xfId="0" applyNumberFormat="1" applyFont="1" applyAlignment="1">
      <alignment horizontal="center" vertical="center"/>
    </xf>
    <xf numFmtId="0" fontId="1" fillId="0" borderId="0" xfId="0" applyFont="1" applyAlignment="1">
      <alignment horizontal="center" wrapText="1"/>
    </xf>
    <xf numFmtId="165" fontId="1" fillId="0" borderId="23" xfId="0" applyNumberFormat="1" applyFont="1" applyBorder="1" applyAlignment="1">
      <alignment horizontal="center"/>
    </xf>
    <xf numFmtId="165" fontId="1" fillId="0" borderId="4" xfId="0" applyNumberFormat="1" applyFont="1" applyBorder="1" applyAlignment="1">
      <alignment horizontal="center"/>
    </xf>
    <xf numFmtId="1" fontId="1" fillId="0" borderId="4" xfId="0" applyNumberFormat="1" applyFont="1" applyBorder="1" applyAlignment="1">
      <alignment horizontal="center"/>
    </xf>
    <xf numFmtId="165" fontId="1" fillId="0" borderId="22" xfId="0" applyNumberFormat="1" applyFont="1" applyBorder="1" applyAlignment="1">
      <alignment horizontal="center"/>
    </xf>
    <xf numFmtId="3" fontId="1" fillId="0" borderId="2" xfId="0" applyNumberFormat="1" applyFont="1" applyBorder="1" applyAlignment="1">
      <alignment horizontal="center"/>
    </xf>
    <xf numFmtId="165" fontId="1" fillId="0" borderId="21" xfId="0" applyNumberFormat="1" applyFont="1" applyBorder="1" applyAlignment="1">
      <alignment horizontal="center"/>
    </xf>
    <xf numFmtId="165" fontId="1" fillId="0" borderId="2" xfId="0" applyNumberFormat="1" applyFont="1" applyBorder="1" applyAlignment="1">
      <alignment horizontal="center"/>
    </xf>
    <xf numFmtId="0" fontId="1" fillId="0" borderId="21" xfId="0" applyFont="1" applyBorder="1"/>
    <xf numFmtId="0" fontId="1" fillId="0" borderId="0" xfId="0" applyFont="1" applyAlignment="1">
      <alignment horizontal="left" vertical="center"/>
    </xf>
    <xf numFmtId="165" fontId="1" fillId="0" borderId="0" xfId="0" applyNumberFormat="1" applyFont="1" applyAlignment="1">
      <alignment horizontal="center" vertical="center"/>
    </xf>
    <xf numFmtId="3" fontId="1" fillId="0" borderId="22" xfId="0" applyNumberFormat="1" applyFont="1" applyBorder="1" applyAlignment="1">
      <alignment horizontal="center"/>
    </xf>
    <xf numFmtId="3" fontId="1" fillId="0" borderId="21" xfId="0" applyNumberFormat="1" applyFont="1" applyBorder="1" applyAlignment="1">
      <alignment horizontal="center"/>
    </xf>
    <xf numFmtId="2" fontId="1" fillId="0" borderId="0" xfId="0" applyNumberFormat="1" applyFont="1" applyAlignment="1">
      <alignment horizontal="center" vertical="center"/>
    </xf>
    <xf numFmtId="0" fontId="1" fillId="0" borderId="0" xfId="0" applyFont="1" applyAlignment="1">
      <alignment horizontal="left" vertical="top"/>
    </xf>
    <xf numFmtId="2" fontId="1" fillId="0" borderId="0" xfId="0" applyNumberFormat="1" applyFont="1" applyAlignment="1">
      <alignment horizontal="center"/>
    </xf>
    <xf numFmtId="3" fontId="1" fillId="0" borderId="22" xfId="1" applyNumberFormat="1" applyFont="1" applyBorder="1" applyAlignment="1">
      <alignment horizontal="center"/>
    </xf>
    <xf numFmtId="3" fontId="1" fillId="0" borderId="21" xfId="1" applyNumberFormat="1" applyFont="1" applyBorder="1" applyAlignment="1">
      <alignment horizontal="center"/>
    </xf>
    <xf numFmtId="37" fontId="1" fillId="0" borderId="22" xfId="0" applyNumberFormat="1" applyFont="1" applyBorder="1" applyAlignment="1">
      <alignment horizontal="center"/>
    </xf>
    <xf numFmtId="37" fontId="1" fillId="0" borderId="0" xfId="0" applyNumberFormat="1" applyFont="1" applyAlignment="1">
      <alignment horizontal="center"/>
    </xf>
    <xf numFmtId="0" fontId="1" fillId="0" borderId="0" xfId="0" quotePrefix="1" applyFont="1"/>
    <xf numFmtId="164" fontId="1" fillId="0" borderId="3" xfId="1" applyNumberFormat="1" applyFont="1" applyFill="1" applyBorder="1"/>
    <xf numFmtId="164" fontId="1" fillId="0" borderId="0" xfId="1" applyNumberFormat="1" applyFont="1" applyFill="1" applyBorder="1"/>
    <xf numFmtId="164" fontId="1" fillId="0" borderId="0" xfId="1" applyNumberFormat="1" applyFont="1" applyFill="1"/>
    <xf numFmtId="164" fontId="1" fillId="0" borderId="2" xfId="1" applyNumberFormat="1" applyFont="1" applyFill="1" applyBorder="1"/>
    <xf numFmtId="164" fontId="1" fillId="0" borderId="0" xfId="0" applyNumberFormat="1" applyFont="1"/>
    <xf numFmtId="0" fontId="1" fillId="0" borderId="3" xfId="0" applyFont="1" applyBorder="1" applyAlignment="1">
      <alignment horizontal="left"/>
    </xf>
    <xf numFmtId="3" fontId="1" fillId="0" borderId="3" xfId="1" applyNumberFormat="1" applyFont="1" applyBorder="1" applyAlignment="1">
      <alignment horizontal="center" vertical="center"/>
    </xf>
    <xf numFmtId="3" fontId="1" fillId="0" borderId="0" xfId="1" applyNumberFormat="1" applyFont="1" applyAlignment="1">
      <alignment horizontal="center" vertical="center"/>
    </xf>
    <xf numFmtId="3" fontId="1" fillId="0" borderId="2" xfId="1" applyNumberFormat="1" applyFont="1" applyBorder="1" applyAlignment="1">
      <alignment horizontal="center" vertical="center"/>
    </xf>
    <xf numFmtId="165" fontId="1" fillId="0" borderId="0" xfId="0" applyNumberFormat="1" applyFont="1"/>
    <xf numFmtId="0" fontId="67" fillId="7" borderId="0" xfId="0" applyFont="1" applyFill="1" applyAlignment="1">
      <alignment horizontal="right" vertical="center"/>
    </xf>
    <xf numFmtId="1" fontId="34" fillId="0" borderId="0" xfId="0" applyNumberFormat="1" applyFont="1" applyAlignment="1">
      <alignment horizontal="left" vertical="center" wrapText="1"/>
    </xf>
    <xf numFmtId="0" fontId="68" fillId="0" borderId="0" xfId="0" applyFont="1" applyAlignment="1">
      <alignment vertical="center"/>
    </xf>
    <xf numFmtId="165" fontId="9" fillId="0" borderId="16" xfId="1" applyNumberFormat="1" applyFont="1" applyBorder="1" applyAlignment="1" applyProtection="1">
      <alignment horizontal="center" vertical="center"/>
    </xf>
    <xf numFmtId="0" fontId="42" fillId="0" borderId="0" xfId="0" applyFont="1" applyAlignment="1">
      <alignment vertical="center"/>
    </xf>
    <xf numFmtId="0" fontId="5" fillId="0" borderId="0" xfId="0" applyFont="1" applyAlignment="1">
      <alignment horizontal="left" vertical="center"/>
    </xf>
    <xf numFmtId="11" fontId="47" fillId="2" borderId="0" xfId="0" applyNumberFormat="1" applyFont="1" applyFill="1" applyAlignment="1">
      <alignment horizontal="center" vertical="center"/>
    </xf>
    <xf numFmtId="1" fontId="42" fillId="0" borderId="0" xfId="0" applyNumberFormat="1" applyFont="1" applyAlignment="1">
      <alignment horizontal="left" vertical="center"/>
    </xf>
    <xf numFmtId="173" fontId="1" fillId="0" borderId="3" xfId="0" applyNumberFormat="1" applyFont="1" applyBorder="1" applyAlignment="1">
      <alignment horizontal="center"/>
    </xf>
    <xf numFmtId="173" fontId="1" fillId="0" borderId="0" xfId="0" applyNumberFormat="1" applyFont="1" applyAlignment="1">
      <alignment horizontal="center"/>
    </xf>
    <xf numFmtId="173" fontId="1" fillId="0" borderId="2" xfId="0" applyNumberFormat="1" applyFont="1" applyBorder="1" applyAlignment="1">
      <alignment horizontal="center"/>
    </xf>
    <xf numFmtId="0" fontId="37" fillId="0" borderId="0" xfId="0" applyFont="1" applyAlignment="1">
      <alignment horizontal="center" vertical="top"/>
    </xf>
    <xf numFmtId="0" fontId="68" fillId="0" borderId="0" xfId="0" applyFont="1"/>
    <xf numFmtId="0" fontId="71" fillId="0" borderId="0" xfId="0" applyFont="1"/>
    <xf numFmtId="0" fontId="72" fillId="0" borderId="0" xfId="5" applyFont="1" applyAlignment="1" applyProtection="1">
      <alignment horizontal="center"/>
    </xf>
    <xf numFmtId="0" fontId="39" fillId="0" borderId="0" xfId="0" applyFont="1"/>
    <xf numFmtId="0" fontId="34" fillId="0" borderId="0" xfId="0" applyFont="1" applyAlignment="1">
      <alignment vertical="top"/>
    </xf>
    <xf numFmtId="0" fontId="73" fillId="0" borderId="0" xfId="0" applyFont="1"/>
    <xf numFmtId="0" fontId="52" fillId="0" borderId="0" xfId="0" applyFont="1"/>
    <xf numFmtId="0" fontId="52" fillId="0" borderId="0" xfId="0" applyFont="1" applyAlignment="1">
      <alignment horizontal="left"/>
    </xf>
    <xf numFmtId="0" fontId="36" fillId="0" borderId="0" xfId="0" applyFont="1" applyAlignment="1">
      <alignment vertical="top" wrapText="1"/>
    </xf>
    <xf numFmtId="0" fontId="74" fillId="0" borderId="0" xfId="0" applyFont="1" applyAlignment="1">
      <alignment horizontal="left"/>
    </xf>
    <xf numFmtId="0" fontId="75" fillId="0" borderId="0" xfId="0" applyFont="1"/>
    <xf numFmtId="0" fontId="36" fillId="0" borderId="0" xfId="0" applyFont="1" applyAlignment="1">
      <alignment horizontal="left" vertical="top" wrapText="1"/>
    </xf>
    <xf numFmtId="0" fontId="41" fillId="0" borderId="0" xfId="5" applyFont="1"/>
    <xf numFmtId="2" fontId="34" fillId="0" borderId="0" xfId="0" applyNumberFormat="1" applyFont="1"/>
    <xf numFmtId="0" fontId="53" fillId="0" borderId="0" xfId="0" applyFont="1"/>
    <xf numFmtId="17" fontId="53" fillId="0" borderId="0" xfId="0" applyNumberFormat="1" applyFont="1"/>
    <xf numFmtId="0" fontId="6" fillId="0" borderId="0" xfId="5" applyFill="1" applyBorder="1" applyAlignment="1">
      <alignment horizontal="left" vertical="top" wrapText="1" indent="2"/>
    </xf>
    <xf numFmtId="0" fontId="76" fillId="0" borderId="0" xfId="0" applyFont="1"/>
    <xf numFmtId="0" fontId="1" fillId="0" borderId="2" xfId="0" applyFont="1" applyBorder="1" applyAlignment="1">
      <alignment vertical="center"/>
    </xf>
    <xf numFmtId="0" fontId="10" fillId="0" borderId="2" xfId="0" applyFont="1" applyBorder="1"/>
    <xf numFmtId="0" fontId="1" fillId="0" borderId="25" xfId="0" applyFont="1" applyBorder="1" applyAlignment="1">
      <alignment horizontal="left" wrapText="1"/>
    </xf>
    <xf numFmtId="0" fontId="1" fillId="0" borderId="24" xfId="0" applyFont="1" applyBorder="1" applyAlignment="1">
      <alignment horizontal="left" vertical="top" wrapText="1" indent="1"/>
    </xf>
    <xf numFmtId="0" fontId="1" fillId="0" borderId="25" xfId="0" applyFont="1" applyBorder="1" applyAlignment="1">
      <alignment horizontal="left" vertical="top" wrapText="1"/>
    </xf>
    <xf numFmtId="0" fontId="36" fillId="0" borderId="0" xfId="0" applyFont="1" applyAlignment="1">
      <alignment horizontal="center" vertical="center" wrapText="1"/>
    </xf>
    <xf numFmtId="0" fontId="11" fillId="9" borderId="0" xfId="0" applyFont="1" applyFill="1" applyAlignment="1">
      <alignment horizontal="center" vertical="center" wrapText="1"/>
    </xf>
    <xf numFmtId="0" fontId="11" fillId="9" borderId="24" xfId="0" applyFont="1" applyFill="1" applyBorder="1" applyAlignment="1">
      <alignment horizontal="center" vertical="center" wrapText="1"/>
    </xf>
    <xf numFmtId="0" fontId="50" fillId="0" borderId="1" xfId="0" applyFont="1" applyBorder="1" applyAlignment="1">
      <alignment horizontal="left" vertical="top" wrapText="1"/>
    </xf>
    <xf numFmtId="0" fontId="50" fillId="0" borderId="26" xfId="0" applyFont="1" applyBorder="1" applyAlignment="1">
      <alignment horizontal="left" vertical="center"/>
    </xf>
    <xf numFmtId="0" fontId="50" fillId="0" borderId="35" xfId="0" applyFont="1" applyBorder="1" applyAlignment="1">
      <alignment horizontal="left" vertical="center"/>
    </xf>
    <xf numFmtId="0" fontId="50" fillId="0" borderId="27" xfId="0" applyFont="1" applyBorder="1" applyAlignment="1">
      <alignment horizontal="left" vertical="center"/>
    </xf>
    <xf numFmtId="0" fontId="50" fillId="0" borderId="1" xfId="0" applyFont="1" applyBorder="1" applyAlignment="1">
      <alignment horizontal="left" vertical="center"/>
    </xf>
    <xf numFmtId="0" fontId="50" fillId="0" borderId="1" xfId="0" applyFont="1" applyBorder="1" applyAlignment="1">
      <alignment horizontal="left" vertical="center" wrapText="1"/>
    </xf>
    <xf numFmtId="0" fontId="13" fillId="0" borderId="0" xfId="0" applyFont="1" applyAlignment="1">
      <alignment horizontal="center"/>
    </xf>
    <xf numFmtId="0" fontId="1" fillId="0" borderId="0" xfId="0" applyFont="1" applyAlignment="1">
      <alignment horizontal="center"/>
    </xf>
    <xf numFmtId="0" fontId="10" fillId="0" borderId="0" xfId="0" applyFont="1" applyAlignment="1">
      <alignment horizontal="left" wrapText="1"/>
    </xf>
    <xf numFmtId="0" fontId="10" fillId="0" borderId="0" xfId="0" applyFont="1" applyAlignment="1">
      <alignment horizontal="center" wrapText="1"/>
    </xf>
    <xf numFmtId="0" fontId="5" fillId="0" borderId="0" xfId="0" applyFont="1" applyAlignment="1">
      <alignment horizontal="left" wrapText="1"/>
    </xf>
    <xf numFmtId="0" fontId="10" fillId="0" borderId="15" xfId="0" applyFont="1" applyBorder="1" applyAlignment="1">
      <alignment horizontal="center" wrapText="1"/>
    </xf>
    <xf numFmtId="1" fontId="34" fillId="0" borderId="0" xfId="0" applyNumberFormat="1" applyFont="1" applyAlignment="1">
      <alignment horizontal="left" vertical="center" wrapText="1"/>
    </xf>
    <xf numFmtId="1" fontId="34" fillId="0" borderId="0" xfId="0" applyNumberFormat="1" applyFont="1" applyAlignment="1">
      <alignment horizontal="left" wrapText="1"/>
    </xf>
    <xf numFmtId="1" fontId="34" fillId="0" borderId="19" xfId="0" applyNumberFormat="1" applyFont="1" applyBorder="1" applyAlignment="1">
      <alignment horizontal="left" vertical="center" wrapText="1"/>
    </xf>
    <xf numFmtId="0" fontId="40" fillId="0" borderId="0" xfId="0" applyFont="1" applyAlignment="1">
      <alignment horizontal="center"/>
    </xf>
    <xf numFmtId="0" fontId="34" fillId="0" borderId="4" xfId="0" applyFont="1" applyBorder="1" applyAlignment="1">
      <alignment horizontal="left" wrapText="1"/>
    </xf>
    <xf numFmtId="0" fontId="6" fillId="0" borderId="0" xfId="5" applyAlignment="1">
      <alignment horizontal="center"/>
    </xf>
    <xf numFmtId="0" fontId="27" fillId="0" borderId="30" xfId="0" applyFont="1" applyBorder="1" applyAlignment="1">
      <alignment horizontal="left" vertical="top" wrapText="1" indent="1"/>
    </xf>
    <xf numFmtId="0" fontId="27" fillId="0" borderId="16" xfId="0" applyFont="1" applyBorder="1" applyAlignment="1">
      <alignment horizontal="left" vertical="top" wrapText="1" indent="1"/>
    </xf>
    <xf numFmtId="0" fontId="27" fillId="0" borderId="31" xfId="0" applyFont="1" applyBorder="1" applyAlignment="1">
      <alignment horizontal="left" vertical="top" wrapText="1" indent="1"/>
    </xf>
    <xf numFmtId="0" fontId="26" fillId="0" borderId="0" xfId="0" applyFont="1" applyAlignment="1">
      <alignment horizontal="left" wrapText="1"/>
    </xf>
    <xf numFmtId="0" fontId="17" fillId="9" borderId="22" xfId="0" applyFont="1" applyFill="1" applyBorder="1" applyAlignment="1">
      <alignment horizontal="center" wrapText="1"/>
    </xf>
    <xf numFmtId="0" fontId="17" fillId="9" borderId="0" xfId="0" applyFont="1" applyFill="1" applyAlignment="1">
      <alignment horizontal="center" wrapText="1"/>
    </xf>
    <xf numFmtId="0" fontId="17" fillId="9" borderId="33" xfId="0" applyFont="1" applyFill="1" applyBorder="1" applyAlignment="1">
      <alignment horizontal="center" wrapText="1"/>
    </xf>
    <xf numFmtId="0" fontId="26" fillId="0" borderId="0" xfId="0" applyFont="1" applyAlignment="1">
      <alignment horizontal="left" vertical="center" wrapText="1"/>
    </xf>
    <xf numFmtId="0" fontId="17" fillId="9" borderId="22" xfId="0" applyFont="1" applyFill="1" applyBorder="1" applyAlignment="1">
      <alignment horizontal="center"/>
    </xf>
    <xf numFmtId="0" fontId="17" fillId="9" borderId="0" xfId="0" applyFont="1" applyFill="1" applyAlignment="1">
      <alignment horizontal="center"/>
    </xf>
    <xf numFmtId="0" fontId="17" fillId="9" borderId="33" xfId="0" applyFont="1" applyFill="1" applyBorder="1" applyAlignment="1">
      <alignment horizontal="center"/>
    </xf>
    <xf numFmtId="0" fontId="56" fillId="0" borderId="4" xfId="0" applyFont="1" applyBorder="1" applyAlignment="1">
      <alignment horizontal="left" wrapText="1"/>
    </xf>
    <xf numFmtId="0" fontId="56" fillId="0" borderId="0" xfId="0" applyFont="1" applyAlignment="1">
      <alignment horizontal="left" wrapText="1"/>
    </xf>
    <xf numFmtId="0" fontId="56" fillId="0" borderId="0" xfId="0" applyFont="1" applyAlignment="1">
      <alignment horizontal="left" vertical="center" wrapText="1"/>
    </xf>
  </cellXfs>
  <cellStyles count="6">
    <cellStyle name="Comma" xfId="1" builtinId="3"/>
    <cellStyle name="Hyperlink" xfId="5" builtinId="8"/>
    <cellStyle name="Normal" xfId="0" builtinId="0"/>
    <cellStyle name="Normal 2" xfId="3" xr:uid="{751A0F7F-6660-479E-B382-3536901CB5B7}"/>
    <cellStyle name="Percent" xfId="2" builtinId="5"/>
    <cellStyle name="Percent 2" xfId="4" xr:uid="{3DF59173-FC42-4484-B308-C9B149C455BF}"/>
  </cellStyles>
  <dxfs count="1">
    <dxf>
      <fill>
        <patternFill>
          <bgColor theme="5" tint="0.39994506668294322"/>
        </patternFill>
      </fill>
    </dxf>
  </dxfs>
  <tableStyles count="0" defaultTableStyle="TableStyleMedium2" defaultPivotStyle="PivotStyleMedium9"/>
  <colors>
    <mruColors>
      <color rgb="FF0000CC"/>
      <color rgb="FFFFFFCC"/>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Energy Delivered </a:t>
            </a:r>
          </a:p>
          <a:p>
            <a:pPr>
              <a:defRPr sz="1200"/>
            </a:pPr>
            <a:r>
              <a:rPr lang="en-US" sz="1200"/>
              <a:t>(MMTJ/yr)</a:t>
            </a:r>
          </a:p>
        </c:rich>
      </c:tx>
      <c:layout>
        <c:manualLayout>
          <c:xMode val="edge"/>
          <c:yMode val="edge"/>
          <c:x val="0.11583991180025018"/>
          <c:y val="7.2271842259789235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743518771957537"/>
          <c:y val="0.17551520396036263"/>
          <c:w val="0.27909923201568426"/>
          <c:h val="0.52716416207832528"/>
        </c:manualLayout>
      </c:layout>
      <c:pieChart>
        <c:varyColors val="1"/>
        <c:ser>
          <c:idx val="0"/>
          <c:order val="0"/>
          <c:tx>
            <c:strRef>
              <c:f>Dashboard!$G$9</c:f>
              <c:strCache>
                <c:ptCount val="1"/>
                <c:pt idx="0">
                  <c:v>Energy Delivered (MMTJ/yr)</c:v>
                </c:pt>
              </c:strCache>
            </c:strRef>
          </c:tx>
          <c:dPt>
            <c:idx val="0"/>
            <c:bubble3D val="0"/>
            <c:spPr>
              <a:solidFill>
                <a:srgbClr val="008000"/>
              </a:solidFill>
              <a:ln w="19050">
                <a:solidFill>
                  <a:schemeClr val="lt1"/>
                </a:solidFill>
              </a:ln>
              <a:effectLst/>
            </c:spPr>
            <c:extLst>
              <c:ext xmlns:c16="http://schemas.microsoft.com/office/drawing/2014/chart" uri="{C3380CC4-5D6E-409C-BE32-E72D297353CC}">
                <c16:uniqueId val="{00000001-7189-49FC-B911-0C736FCF096F}"/>
              </c:ext>
            </c:extLst>
          </c:dPt>
          <c:dPt>
            <c:idx val="1"/>
            <c:bubble3D val="0"/>
            <c:spPr>
              <a:solidFill>
                <a:srgbClr val="C00000"/>
              </a:solidFill>
              <a:ln w="19050">
                <a:solidFill>
                  <a:schemeClr val="lt1"/>
                </a:solidFill>
              </a:ln>
              <a:effectLst/>
            </c:spPr>
            <c:extLst>
              <c:ext xmlns:c16="http://schemas.microsoft.com/office/drawing/2014/chart" uri="{C3380CC4-5D6E-409C-BE32-E72D297353CC}">
                <c16:uniqueId val="{00000003-7189-49FC-B911-0C736FCF096F}"/>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7189-49FC-B911-0C736FCF096F}"/>
              </c:ext>
            </c:extLst>
          </c:dPt>
          <c:dPt>
            <c:idx val="3"/>
            <c:bubble3D val="0"/>
            <c:spPr>
              <a:solidFill>
                <a:srgbClr val="7030A0"/>
              </a:solidFill>
              <a:ln w="19050">
                <a:solidFill>
                  <a:schemeClr val="lt1"/>
                </a:solidFill>
              </a:ln>
              <a:effectLst/>
            </c:spPr>
            <c:extLst>
              <c:ext xmlns:c16="http://schemas.microsoft.com/office/drawing/2014/chart" uri="{C3380CC4-5D6E-409C-BE32-E72D297353CC}">
                <c16:uniqueId val="{00000007-7189-49FC-B911-0C736FCF096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189-49FC-B911-0C736FCF096F}"/>
              </c:ext>
            </c:extLst>
          </c:dPt>
          <c:dPt>
            <c:idx val="5"/>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B-7189-49FC-B911-0C736FCF096F}"/>
              </c:ext>
            </c:extLst>
          </c:dPt>
          <c:dPt>
            <c:idx val="6"/>
            <c:bubble3D val="0"/>
            <c:spPr>
              <a:solidFill>
                <a:schemeClr val="tx1"/>
              </a:solidFill>
              <a:ln w="19050">
                <a:solidFill>
                  <a:schemeClr val="lt1"/>
                </a:solidFill>
              </a:ln>
              <a:effectLst/>
            </c:spPr>
            <c:extLst>
              <c:ext xmlns:c16="http://schemas.microsoft.com/office/drawing/2014/chart" uri="{C3380CC4-5D6E-409C-BE32-E72D297353CC}">
                <c16:uniqueId val="{0000000D-7189-49FC-B911-0C736FCF096F}"/>
              </c:ext>
            </c:extLst>
          </c:dPt>
          <c:cat>
            <c:strRef>
              <c:f>Dashboard!$F$13:$F$19</c:f>
              <c:strCache>
                <c:ptCount val="7"/>
                <c:pt idx="0">
                  <c:v>Oil and Refined Products</c:v>
                </c:pt>
                <c:pt idx="1">
                  <c:v>Natural Gas and LNG</c:v>
                </c:pt>
                <c:pt idx="2">
                  <c:v>Natural Gas Liquids</c:v>
                </c:pt>
                <c:pt idx="3">
                  <c:v>Biofuels</c:v>
                </c:pt>
                <c:pt idx="4">
                  <c:v>Hydrogen</c:v>
                </c:pt>
                <c:pt idx="5">
                  <c:v>Lower Carbon Power</c:v>
                </c:pt>
                <c:pt idx="6">
                  <c:v>Carbon Sinks</c:v>
                </c:pt>
              </c:strCache>
            </c:strRef>
          </c:cat>
          <c:val>
            <c:numRef>
              <c:f>Dashboard!$G$13:$G$19</c:f>
              <c:numCache>
                <c:formatCode>0.0</c:formatCode>
                <c:ptCount val="7"/>
                <c:pt idx="0">
                  <c:v>5.6592130963387017</c:v>
                </c:pt>
                <c:pt idx="1">
                  <c:v>4.2709837183760149</c:v>
                </c:pt>
                <c:pt idx="2">
                  <c:v>0.8678665533536537</c:v>
                </c:pt>
                <c:pt idx="3">
                  <c:v>0.20668692975331734</c:v>
                </c:pt>
                <c:pt idx="4">
                  <c:v>0</c:v>
                </c:pt>
                <c:pt idx="5">
                  <c:v>7.3619941104047115E-6</c:v>
                </c:pt>
                <c:pt idx="6">
                  <c:v>0</c:v>
                </c:pt>
              </c:numCache>
            </c:numRef>
          </c:val>
          <c:extLst>
            <c:ext xmlns:c16="http://schemas.microsoft.com/office/drawing/2014/chart" uri="{C3380CC4-5D6E-409C-BE32-E72D297353CC}">
              <c16:uniqueId val="{0000000E-7189-49FC-B911-0C736FCF096F}"/>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2.6019244318656026E-2"/>
          <c:y val="0.82935287069981078"/>
          <c:w val="0.93086924292318152"/>
          <c:h val="0.1427864502454967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solidFill>
                  <a:sysClr val="windowText" lastClr="000000"/>
                </a:solidFill>
                <a:latin typeface="Arial" panose="020B0604020202020204" pitchFamily="34" charset="0"/>
                <a:cs typeface="Arial" panose="020B0604020202020204" pitchFamily="34" charset="0"/>
              </a:rPr>
              <a:t>Estimated Value Chain Emissions </a:t>
            </a:r>
          </a:p>
          <a:p>
            <a:pPr>
              <a:defRPr sz="1200">
                <a:solidFill>
                  <a:sysClr val="windowText" lastClr="000000"/>
                </a:solidFill>
                <a:latin typeface="Arial" panose="020B0604020202020204" pitchFamily="34" charset="0"/>
                <a:cs typeface="Arial" panose="020B0604020202020204" pitchFamily="34" charset="0"/>
              </a:defRPr>
            </a:pPr>
            <a:r>
              <a:rPr lang="en-US" sz="1200">
                <a:solidFill>
                  <a:sysClr val="windowText" lastClr="000000"/>
                </a:solidFill>
                <a:latin typeface="Arial" panose="020B0604020202020204" pitchFamily="34" charset="0"/>
                <a:cs typeface="Arial" panose="020B0604020202020204" pitchFamily="34" charset="0"/>
              </a:rPr>
              <a:t>(MMT CO2e/yr)</a:t>
            </a:r>
          </a:p>
        </c:rich>
      </c:tx>
      <c:layout>
        <c:manualLayout>
          <c:xMode val="edge"/>
          <c:yMode val="edge"/>
          <c:x val="3.8637800004402006E-2"/>
          <c:y val="6.517177745325299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2709714241241101E-2"/>
          <c:y val="0.31177859338478092"/>
          <c:w val="0.56656382636185343"/>
          <c:h val="0.53242160092806579"/>
        </c:manualLayout>
      </c:layout>
      <c:pieChart>
        <c:varyColors val="1"/>
        <c:ser>
          <c:idx val="0"/>
          <c:order val="0"/>
          <c:tx>
            <c:strRef>
              <c:f>Dashboard!$H$9</c:f>
              <c:strCache>
                <c:ptCount val="1"/>
                <c:pt idx="0">
                  <c:v>Estimated Value Chain Emissions (MMT CO2e/yr)</c:v>
                </c:pt>
              </c:strCache>
            </c:strRef>
          </c:tx>
          <c:dPt>
            <c:idx val="0"/>
            <c:bubble3D val="0"/>
            <c:spPr>
              <a:solidFill>
                <a:srgbClr val="008000"/>
              </a:solidFill>
              <a:ln w="19050">
                <a:solidFill>
                  <a:schemeClr val="lt1"/>
                </a:solidFill>
              </a:ln>
              <a:effectLst/>
            </c:spPr>
            <c:extLst>
              <c:ext xmlns:c16="http://schemas.microsoft.com/office/drawing/2014/chart" uri="{C3380CC4-5D6E-409C-BE32-E72D297353CC}">
                <c16:uniqueId val="{00000001-FBFA-464C-84CA-7CFA9FB11A61}"/>
              </c:ext>
            </c:extLst>
          </c:dPt>
          <c:dPt>
            <c:idx val="1"/>
            <c:bubble3D val="0"/>
            <c:spPr>
              <a:solidFill>
                <a:srgbClr val="C00000"/>
              </a:solidFill>
              <a:ln w="19050">
                <a:solidFill>
                  <a:schemeClr val="lt1"/>
                </a:solidFill>
              </a:ln>
              <a:effectLst/>
            </c:spPr>
            <c:extLst>
              <c:ext xmlns:c16="http://schemas.microsoft.com/office/drawing/2014/chart" uri="{C3380CC4-5D6E-409C-BE32-E72D297353CC}">
                <c16:uniqueId val="{00000003-FBFA-464C-84CA-7CFA9FB11A61}"/>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FBFA-464C-84CA-7CFA9FB11A61}"/>
              </c:ext>
            </c:extLst>
          </c:dPt>
          <c:dPt>
            <c:idx val="3"/>
            <c:bubble3D val="0"/>
            <c:spPr>
              <a:solidFill>
                <a:srgbClr val="7030A0"/>
              </a:solidFill>
              <a:ln w="19050">
                <a:solidFill>
                  <a:schemeClr val="lt1"/>
                </a:solidFill>
              </a:ln>
              <a:effectLst/>
            </c:spPr>
            <c:extLst>
              <c:ext xmlns:c16="http://schemas.microsoft.com/office/drawing/2014/chart" uri="{C3380CC4-5D6E-409C-BE32-E72D297353CC}">
                <c16:uniqueId val="{00000007-FBFA-464C-84CA-7CFA9FB11A6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BFA-464C-84CA-7CFA9FB11A61}"/>
              </c:ext>
            </c:extLst>
          </c:dPt>
          <c:dPt>
            <c:idx val="5"/>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B-FBFA-464C-84CA-7CFA9FB11A61}"/>
              </c:ext>
            </c:extLst>
          </c:dPt>
          <c:dPt>
            <c:idx val="6"/>
            <c:bubble3D val="0"/>
            <c:spPr>
              <a:solidFill>
                <a:schemeClr val="tx1"/>
              </a:solidFill>
              <a:ln w="19050">
                <a:solidFill>
                  <a:schemeClr val="lt1"/>
                </a:solidFill>
              </a:ln>
              <a:effectLst/>
            </c:spPr>
            <c:extLst>
              <c:ext xmlns:c16="http://schemas.microsoft.com/office/drawing/2014/chart" uri="{C3380CC4-5D6E-409C-BE32-E72D297353CC}">
                <c16:uniqueId val="{0000000D-FBFA-464C-84CA-7CFA9FB11A61}"/>
              </c:ext>
            </c:extLst>
          </c:dPt>
          <c:cat>
            <c:strRef>
              <c:f>Dashboard!$F$13:$F$19</c:f>
              <c:strCache>
                <c:ptCount val="7"/>
                <c:pt idx="0">
                  <c:v>Oil and Refined Products</c:v>
                </c:pt>
                <c:pt idx="1">
                  <c:v>Natural Gas and LNG</c:v>
                </c:pt>
                <c:pt idx="2">
                  <c:v>Natural Gas Liquids</c:v>
                </c:pt>
                <c:pt idx="3">
                  <c:v>Biofuels</c:v>
                </c:pt>
                <c:pt idx="4">
                  <c:v>Hydrogen</c:v>
                </c:pt>
                <c:pt idx="5">
                  <c:v>Lower Carbon Power</c:v>
                </c:pt>
                <c:pt idx="6">
                  <c:v>Carbon Sinks</c:v>
                </c:pt>
              </c:strCache>
            </c:strRef>
          </c:cat>
          <c:val>
            <c:numRef>
              <c:f>Dashboard!$H$13:$H$19</c:f>
              <c:numCache>
                <c:formatCode>0</c:formatCode>
                <c:ptCount val="7"/>
                <c:pt idx="0">
                  <c:v>461.87836814076337</c:v>
                </c:pt>
                <c:pt idx="1">
                  <c:v>255.43289889226332</c:v>
                </c:pt>
                <c:pt idx="2">
                  <c:v>62.396935344305888</c:v>
                </c:pt>
                <c:pt idx="3">
                  <c:v>7.2314580568090534</c:v>
                </c:pt>
                <c:pt idx="4">
                  <c:v>0</c:v>
                </c:pt>
                <c:pt idx="5">
                  <c:v>4.8094999999999993E-5</c:v>
                </c:pt>
                <c:pt idx="6">
                  <c:v>-4.9883889999999997</c:v>
                </c:pt>
              </c:numCache>
            </c:numRef>
          </c:val>
          <c:extLst>
            <c:ext xmlns:c16="http://schemas.microsoft.com/office/drawing/2014/chart" uri="{C3380CC4-5D6E-409C-BE32-E72D297353CC}">
              <c16:uniqueId val="{0000000E-FBFA-464C-84CA-7CFA9FB11A6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Dashboard!$I$9</c:f>
          <c:strCache>
            <c:ptCount val="1"/>
            <c:pt idx="0">
              <c:v>Energy Category Footprint (gCO2e/MJ)</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1"/>
        <c:ser>
          <c:idx val="0"/>
          <c:order val="0"/>
          <c:invertIfNegative val="0"/>
          <c:dPt>
            <c:idx val="0"/>
            <c:invertIfNegative val="0"/>
            <c:bubble3D val="0"/>
            <c:spPr>
              <a:solidFill>
                <a:srgbClr val="008000"/>
              </a:solidFill>
              <a:ln>
                <a:noFill/>
              </a:ln>
              <a:effectLst/>
            </c:spPr>
            <c:extLst>
              <c:ext xmlns:c16="http://schemas.microsoft.com/office/drawing/2014/chart" uri="{C3380CC4-5D6E-409C-BE32-E72D297353CC}">
                <c16:uniqueId val="{00000001-FC31-4255-88F9-61FFFD92AF69}"/>
              </c:ext>
            </c:extLst>
          </c:dPt>
          <c:dPt>
            <c:idx val="1"/>
            <c:invertIfNegative val="0"/>
            <c:bubble3D val="0"/>
            <c:spPr>
              <a:solidFill>
                <a:srgbClr val="C00000"/>
              </a:solidFill>
              <a:ln>
                <a:noFill/>
              </a:ln>
              <a:effectLst/>
            </c:spPr>
            <c:extLst>
              <c:ext xmlns:c16="http://schemas.microsoft.com/office/drawing/2014/chart" uri="{C3380CC4-5D6E-409C-BE32-E72D297353CC}">
                <c16:uniqueId val="{00000003-FC31-4255-88F9-61FFFD92AF69}"/>
              </c:ext>
            </c:extLst>
          </c:dPt>
          <c:dPt>
            <c:idx val="2"/>
            <c:invertIfNegative val="0"/>
            <c:bubble3D val="0"/>
            <c:spPr>
              <a:solidFill>
                <a:schemeClr val="accent4"/>
              </a:solidFill>
              <a:ln>
                <a:noFill/>
              </a:ln>
              <a:effectLst/>
            </c:spPr>
            <c:extLst>
              <c:ext xmlns:c16="http://schemas.microsoft.com/office/drawing/2014/chart" uri="{C3380CC4-5D6E-409C-BE32-E72D297353CC}">
                <c16:uniqueId val="{00000005-FC31-4255-88F9-61FFFD92AF69}"/>
              </c:ext>
            </c:extLst>
          </c:dPt>
          <c:dPt>
            <c:idx val="3"/>
            <c:invertIfNegative val="0"/>
            <c:bubble3D val="0"/>
            <c:spPr>
              <a:solidFill>
                <a:srgbClr val="7030A0"/>
              </a:solidFill>
              <a:ln>
                <a:noFill/>
              </a:ln>
              <a:effectLst/>
            </c:spPr>
            <c:extLst>
              <c:ext xmlns:c16="http://schemas.microsoft.com/office/drawing/2014/chart" uri="{C3380CC4-5D6E-409C-BE32-E72D297353CC}">
                <c16:uniqueId val="{00000007-FC31-4255-88F9-61FFFD92AF69}"/>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FC31-4255-88F9-61FFFD92AF69}"/>
              </c:ext>
            </c:extLst>
          </c:dPt>
          <c:dPt>
            <c:idx val="5"/>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B-FC31-4255-88F9-61FFFD92AF69}"/>
              </c:ext>
            </c:extLst>
          </c:dPt>
          <c:dPt>
            <c:idx val="6"/>
            <c:invertIfNegative val="0"/>
            <c:bubble3D val="0"/>
            <c:spPr>
              <a:solidFill>
                <a:schemeClr val="tx1"/>
              </a:solidFill>
              <a:ln>
                <a:noFill/>
              </a:ln>
              <a:effectLst/>
            </c:spPr>
            <c:extLst>
              <c:ext xmlns:c16="http://schemas.microsoft.com/office/drawing/2014/chart" uri="{C3380CC4-5D6E-409C-BE32-E72D297353CC}">
                <c16:uniqueId val="{0000000D-FC31-4255-88F9-61FFFD92AF69}"/>
              </c:ext>
            </c:extLst>
          </c:dPt>
          <c:dPt>
            <c:idx val="7"/>
            <c:invertIfNegative val="0"/>
            <c:bubble3D val="0"/>
            <c:spPr>
              <a:solidFill>
                <a:srgbClr val="002060"/>
              </a:solidFill>
              <a:ln>
                <a:noFill/>
              </a:ln>
              <a:effectLst/>
            </c:spPr>
            <c:extLst>
              <c:ext xmlns:c16="http://schemas.microsoft.com/office/drawing/2014/chart" uri="{C3380CC4-5D6E-409C-BE32-E72D297353CC}">
                <c16:uniqueId val="{0000000F-FC31-4255-88F9-61FFFD92AF6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Dashboard!$F$13:$F$20</c:f>
              <c:strCache>
                <c:ptCount val="8"/>
                <c:pt idx="0">
                  <c:v>Oil and Refined Products</c:v>
                </c:pt>
                <c:pt idx="1">
                  <c:v>Natural Gas and LNG</c:v>
                </c:pt>
                <c:pt idx="2">
                  <c:v>Natural Gas Liquids</c:v>
                </c:pt>
                <c:pt idx="3">
                  <c:v>Biofuels</c:v>
                </c:pt>
                <c:pt idx="4">
                  <c:v>Hydrogen</c:v>
                </c:pt>
                <c:pt idx="5">
                  <c:v>Lower Carbon Power</c:v>
                </c:pt>
                <c:pt idx="6">
                  <c:v>Carbon Sinks</c:v>
                </c:pt>
                <c:pt idx="7">
                  <c:v>PCI, HHV Basis</c:v>
                </c:pt>
              </c:strCache>
            </c:strRef>
          </c:cat>
          <c:val>
            <c:numRef>
              <c:f>Dashboard!$I$13:$I$20</c:f>
              <c:numCache>
                <c:formatCode>0.0</c:formatCode>
                <c:ptCount val="8"/>
                <c:pt idx="0">
                  <c:v>81.615298854814512</c:v>
                </c:pt>
                <c:pt idx="1">
                  <c:v>59.8065728495421</c:v>
                </c:pt>
                <c:pt idx="2">
                  <c:v>71.896923672410821</c:v>
                </c:pt>
                <c:pt idx="3">
                  <c:v>34.98749565557852</c:v>
                </c:pt>
                <c:pt idx="4">
                  <c:v>0</c:v>
                </c:pt>
                <c:pt idx="5">
                  <c:v>6.5328767286063565</c:v>
                </c:pt>
                <c:pt idx="6">
                  <c:v>0</c:v>
                </c:pt>
                <c:pt idx="7">
                  <c:v>71.055750948924612</c:v>
                </c:pt>
              </c:numCache>
            </c:numRef>
          </c:val>
          <c:extLst>
            <c:ext xmlns:c16="http://schemas.microsoft.com/office/drawing/2014/chart" uri="{C3380CC4-5D6E-409C-BE32-E72D297353CC}">
              <c16:uniqueId val="{00000000-051B-43D9-AA95-D95E993769DC}"/>
            </c:ext>
          </c:extLst>
        </c:ser>
        <c:dLbls>
          <c:showLegendKey val="0"/>
          <c:showVal val="0"/>
          <c:showCatName val="0"/>
          <c:showSerName val="0"/>
          <c:showPercent val="0"/>
          <c:showBubbleSize val="0"/>
        </c:dLbls>
        <c:gapWidth val="75"/>
        <c:overlap val="-27"/>
        <c:axId val="744016864"/>
        <c:axId val="744017192"/>
      </c:barChart>
      <c:catAx>
        <c:axId val="744016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44017192"/>
        <c:crosses val="autoZero"/>
        <c:auto val="1"/>
        <c:lblAlgn val="ctr"/>
        <c:lblOffset val="100"/>
        <c:noMultiLvlLbl val="0"/>
      </c:catAx>
      <c:valAx>
        <c:axId val="744017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440168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checked="Checked" firstButton="1" fmlaLink="Q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checked="Checked" fmlaLink="Q2" lockText="1" noThreeD="1"/>
</file>

<file path=xl/ctrlProps/ctrlProp4.xml><?xml version="1.0" encoding="utf-8"?>
<formControlPr xmlns="http://schemas.microsoft.com/office/spreadsheetml/2009/9/main" objectType="CheckBox" fmlaLink="$F$2" lockText="1" noThreeD="1"/>
</file>

<file path=xl/ctrlProps/ctrlProp5.xml><?xml version="1.0" encoding="utf-8"?>
<formControlPr xmlns="http://schemas.microsoft.com/office/spreadsheetml/2009/9/main" objectType="CheckBox" checked="Checked" fmlaLink="Dashboard!$Q$2" lockText="1" noThreeD="1"/>
</file>

<file path=xl/ctrlProps/ctrlProp6.xml><?xml version="1.0" encoding="utf-8"?>
<formControlPr xmlns="http://schemas.microsoft.com/office/spreadsheetml/2009/9/main" objectType="CheckBox" fmlaLink="' Alt Calc - Refined Products'!$F$2" lockText="1" noThreeD="1"/>
</file>

<file path=xl/drawings/_rels/drawing1.xml.rels><?xml version="1.0" encoding="UTF-8" standalone="yes"?>
<Relationships xmlns="http://schemas.openxmlformats.org/package/2006/relationships"><Relationship Id="rId13" Type="http://schemas.openxmlformats.org/officeDocument/2006/relationships/hyperlink" Target="#' Alt Calc - Refined Products'!A1"/><Relationship Id="rId18" Type="http://schemas.openxmlformats.org/officeDocument/2006/relationships/image" Target="../media/image10.jpeg"/><Relationship Id="rId26" Type="http://schemas.openxmlformats.org/officeDocument/2006/relationships/image" Target="../media/image14.png"/><Relationship Id="rId3" Type="http://schemas.openxmlformats.org/officeDocument/2006/relationships/hyperlink" Target="#Education!A1"/><Relationship Id="rId21" Type="http://schemas.openxmlformats.org/officeDocument/2006/relationships/hyperlink" Target="#NGLs!A1"/><Relationship Id="rId7" Type="http://schemas.openxmlformats.org/officeDocument/2006/relationships/hyperlink" Target="#'User Guide'!A1"/><Relationship Id="rId12" Type="http://schemas.openxmlformats.org/officeDocument/2006/relationships/image" Target="../media/image7.jpeg"/><Relationship Id="rId17" Type="http://schemas.openxmlformats.org/officeDocument/2006/relationships/hyperlink" Target="#'Oil and Refined Products'!A1"/><Relationship Id="rId25" Type="http://schemas.openxmlformats.org/officeDocument/2006/relationships/hyperlink" Target="#Hydrogen!A1"/><Relationship Id="rId33" Type="http://schemas.openxmlformats.org/officeDocument/2006/relationships/image" Target="../media/image18.png"/><Relationship Id="rId2" Type="http://schemas.openxmlformats.org/officeDocument/2006/relationships/image" Target="../media/image2.png"/><Relationship Id="rId16" Type="http://schemas.openxmlformats.org/officeDocument/2006/relationships/image" Target="../media/image9.jpeg"/><Relationship Id="rId20" Type="http://schemas.openxmlformats.org/officeDocument/2006/relationships/image" Target="../media/image11.jpeg"/><Relationship Id="rId29" Type="http://schemas.openxmlformats.org/officeDocument/2006/relationships/hyperlink" Target="#'Lower Carbon Power'!A1"/><Relationship Id="rId1" Type="http://schemas.openxmlformats.org/officeDocument/2006/relationships/image" Target="../media/image1.png"/><Relationship Id="rId6" Type="http://schemas.openxmlformats.org/officeDocument/2006/relationships/image" Target="../media/image4.jpeg"/><Relationship Id="rId11" Type="http://schemas.openxmlformats.org/officeDocument/2006/relationships/hyperlink" Target="#Factors!A1"/><Relationship Id="rId24" Type="http://schemas.openxmlformats.org/officeDocument/2006/relationships/image" Target="../media/image13.png"/><Relationship Id="rId32" Type="http://schemas.openxmlformats.org/officeDocument/2006/relationships/image" Target="../media/image17.png"/><Relationship Id="rId5" Type="http://schemas.openxmlformats.org/officeDocument/2006/relationships/hyperlink" Target="#'Terms and Conditions'!A1"/><Relationship Id="rId15" Type="http://schemas.openxmlformats.org/officeDocument/2006/relationships/hyperlink" Target="#Abbreviations!A1"/><Relationship Id="rId23" Type="http://schemas.openxmlformats.org/officeDocument/2006/relationships/hyperlink" Target="#'Gas and LNG'!A1"/><Relationship Id="rId28" Type="http://schemas.openxmlformats.org/officeDocument/2006/relationships/image" Target="../media/image15.png"/><Relationship Id="rId10" Type="http://schemas.openxmlformats.org/officeDocument/2006/relationships/image" Target="../media/image6.jpeg"/><Relationship Id="rId19" Type="http://schemas.openxmlformats.org/officeDocument/2006/relationships/hyperlink" Target="#Home!A1"/><Relationship Id="rId31" Type="http://schemas.openxmlformats.org/officeDocument/2006/relationships/hyperlink" Target="#FAQ!A1"/><Relationship Id="rId4" Type="http://schemas.openxmlformats.org/officeDocument/2006/relationships/image" Target="../media/image3.jpeg"/><Relationship Id="rId9" Type="http://schemas.openxmlformats.org/officeDocument/2006/relationships/hyperlink" Target="#Dashboard!A1"/><Relationship Id="rId14" Type="http://schemas.openxmlformats.org/officeDocument/2006/relationships/image" Target="../media/image8.jpeg"/><Relationship Id="rId22" Type="http://schemas.openxmlformats.org/officeDocument/2006/relationships/image" Target="../media/image12.jpeg"/><Relationship Id="rId27" Type="http://schemas.openxmlformats.org/officeDocument/2006/relationships/hyperlink" Target="#Biofuels!A1"/><Relationship Id="rId30" Type="http://schemas.openxmlformats.org/officeDocument/2006/relationships/image" Target="../media/image16.png"/><Relationship Id="rId8"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3" Type="http://schemas.openxmlformats.org/officeDocument/2006/relationships/hyperlink" Target="#' Alt Calc - Refined Products'!A1"/><Relationship Id="rId18" Type="http://schemas.openxmlformats.org/officeDocument/2006/relationships/image" Target="../media/image28.jpeg"/><Relationship Id="rId26" Type="http://schemas.openxmlformats.org/officeDocument/2006/relationships/image" Target="../media/image14.png"/><Relationship Id="rId3" Type="http://schemas.openxmlformats.org/officeDocument/2006/relationships/hyperlink" Target="#Education!A1"/><Relationship Id="rId21" Type="http://schemas.openxmlformats.org/officeDocument/2006/relationships/hyperlink" Target="#NGLs!A1"/><Relationship Id="rId7" Type="http://schemas.openxmlformats.org/officeDocument/2006/relationships/hyperlink" Target="#'User Guide'!A1"/><Relationship Id="rId12" Type="http://schemas.openxmlformats.org/officeDocument/2006/relationships/image" Target="../media/image25.jpeg"/><Relationship Id="rId17" Type="http://schemas.openxmlformats.org/officeDocument/2006/relationships/hyperlink" Target="#'Oil and Refined Products'!A1"/><Relationship Id="rId25" Type="http://schemas.openxmlformats.org/officeDocument/2006/relationships/hyperlink" Target="#Hydrogen!A1"/><Relationship Id="rId33" Type="http://schemas.openxmlformats.org/officeDocument/2006/relationships/image" Target="../media/image31.png"/><Relationship Id="rId2" Type="http://schemas.openxmlformats.org/officeDocument/2006/relationships/image" Target="../media/image20.png"/><Relationship Id="rId16" Type="http://schemas.openxmlformats.org/officeDocument/2006/relationships/image" Target="../media/image27.jpeg"/><Relationship Id="rId20" Type="http://schemas.openxmlformats.org/officeDocument/2006/relationships/image" Target="../media/image29.jpeg"/><Relationship Id="rId29" Type="http://schemas.openxmlformats.org/officeDocument/2006/relationships/hyperlink" Target="#'Lower Carbon Power'!A1"/><Relationship Id="rId1" Type="http://schemas.openxmlformats.org/officeDocument/2006/relationships/image" Target="../media/image19.png"/><Relationship Id="rId6" Type="http://schemas.openxmlformats.org/officeDocument/2006/relationships/image" Target="../media/image22.jpeg"/><Relationship Id="rId11" Type="http://schemas.openxmlformats.org/officeDocument/2006/relationships/hyperlink" Target="#Factors!A1"/><Relationship Id="rId24" Type="http://schemas.openxmlformats.org/officeDocument/2006/relationships/image" Target="../media/image13.png"/><Relationship Id="rId32" Type="http://schemas.openxmlformats.org/officeDocument/2006/relationships/image" Target="../media/image17.png"/><Relationship Id="rId5" Type="http://schemas.openxmlformats.org/officeDocument/2006/relationships/hyperlink" Target="#'Terms and Conditions'!A1"/><Relationship Id="rId15" Type="http://schemas.openxmlformats.org/officeDocument/2006/relationships/hyperlink" Target="#Abbreviations!A1"/><Relationship Id="rId23" Type="http://schemas.openxmlformats.org/officeDocument/2006/relationships/hyperlink" Target="#'Gas and LNG'!A1"/><Relationship Id="rId28" Type="http://schemas.openxmlformats.org/officeDocument/2006/relationships/image" Target="../media/image15.png"/><Relationship Id="rId10" Type="http://schemas.openxmlformats.org/officeDocument/2006/relationships/image" Target="../media/image24.jpeg"/><Relationship Id="rId19" Type="http://schemas.openxmlformats.org/officeDocument/2006/relationships/hyperlink" Target="#Home!A1"/><Relationship Id="rId31" Type="http://schemas.openxmlformats.org/officeDocument/2006/relationships/hyperlink" Target="#FAQ!A1"/><Relationship Id="rId4" Type="http://schemas.openxmlformats.org/officeDocument/2006/relationships/image" Target="../media/image21.jpeg"/><Relationship Id="rId9" Type="http://schemas.openxmlformats.org/officeDocument/2006/relationships/hyperlink" Target="#Dashboard!A1"/><Relationship Id="rId14" Type="http://schemas.openxmlformats.org/officeDocument/2006/relationships/image" Target="../media/image26.jpeg"/><Relationship Id="rId22" Type="http://schemas.openxmlformats.org/officeDocument/2006/relationships/image" Target="../media/image30.jpeg"/><Relationship Id="rId27" Type="http://schemas.openxmlformats.org/officeDocument/2006/relationships/hyperlink" Target="#Biofuels!A1"/><Relationship Id="rId30" Type="http://schemas.openxmlformats.org/officeDocument/2006/relationships/image" Target="../media/image16.png"/><Relationship Id="rId8" Type="http://schemas.openxmlformats.org/officeDocument/2006/relationships/image" Target="../media/image2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4.jpeg"/><Relationship Id="rId13" Type="http://schemas.openxmlformats.org/officeDocument/2006/relationships/hyperlink" Target="#Abbreviations!A1"/><Relationship Id="rId18" Type="http://schemas.openxmlformats.org/officeDocument/2006/relationships/image" Target="../media/image38.jpeg"/><Relationship Id="rId26" Type="http://schemas.openxmlformats.org/officeDocument/2006/relationships/image" Target="../media/image15.png"/><Relationship Id="rId3" Type="http://schemas.openxmlformats.org/officeDocument/2006/relationships/hyperlink" Target="#'Terms and Conditions'!A1"/><Relationship Id="rId21" Type="http://schemas.openxmlformats.org/officeDocument/2006/relationships/hyperlink" Target="#'Gas and LNG'!A1"/><Relationship Id="rId7" Type="http://schemas.openxmlformats.org/officeDocument/2006/relationships/hyperlink" Target="#Dashboard!A1"/><Relationship Id="rId12" Type="http://schemas.openxmlformats.org/officeDocument/2006/relationships/image" Target="../media/image36.jpeg"/><Relationship Id="rId17" Type="http://schemas.openxmlformats.org/officeDocument/2006/relationships/hyperlink" Target="#Home!A1"/><Relationship Id="rId25" Type="http://schemas.openxmlformats.org/officeDocument/2006/relationships/hyperlink" Target="#Biofuels!A1"/><Relationship Id="rId2" Type="http://schemas.openxmlformats.org/officeDocument/2006/relationships/image" Target="../media/image21.jpeg"/><Relationship Id="rId16" Type="http://schemas.openxmlformats.org/officeDocument/2006/relationships/image" Target="../media/image37.jpeg"/><Relationship Id="rId20" Type="http://schemas.openxmlformats.org/officeDocument/2006/relationships/image" Target="../media/image39.jpeg"/><Relationship Id="rId29" Type="http://schemas.openxmlformats.org/officeDocument/2006/relationships/hyperlink" Target="#FAQ!A1"/><Relationship Id="rId1" Type="http://schemas.openxmlformats.org/officeDocument/2006/relationships/hyperlink" Target="#Education!A1"/><Relationship Id="rId6" Type="http://schemas.openxmlformats.org/officeDocument/2006/relationships/image" Target="../media/image33.jpeg"/><Relationship Id="rId11" Type="http://schemas.openxmlformats.org/officeDocument/2006/relationships/hyperlink" Target="#' Alt Calc - Refined Products'!A1"/><Relationship Id="rId24" Type="http://schemas.openxmlformats.org/officeDocument/2006/relationships/image" Target="../media/image14.png"/><Relationship Id="rId5" Type="http://schemas.openxmlformats.org/officeDocument/2006/relationships/hyperlink" Target="#'User Guide'!A1"/><Relationship Id="rId15" Type="http://schemas.openxmlformats.org/officeDocument/2006/relationships/hyperlink" Target="#'Oil and Refined Products'!A1"/><Relationship Id="rId23" Type="http://schemas.openxmlformats.org/officeDocument/2006/relationships/hyperlink" Target="#Hydrogen!A1"/><Relationship Id="rId28" Type="http://schemas.openxmlformats.org/officeDocument/2006/relationships/image" Target="../media/image16.png"/><Relationship Id="rId10" Type="http://schemas.openxmlformats.org/officeDocument/2006/relationships/image" Target="../media/image35.jpeg"/><Relationship Id="rId19" Type="http://schemas.openxmlformats.org/officeDocument/2006/relationships/hyperlink" Target="#NGLs!A1"/><Relationship Id="rId4" Type="http://schemas.openxmlformats.org/officeDocument/2006/relationships/image" Target="../media/image32.jpeg"/><Relationship Id="rId9" Type="http://schemas.openxmlformats.org/officeDocument/2006/relationships/hyperlink" Target="#Factors!A1"/><Relationship Id="rId14" Type="http://schemas.openxmlformats.org/officeDocument/2006/relationships/image" Target="../media/image27.jpeg"/><Relationship Id="rId22" Type="http://schemas.openxmlformats.org/officeDocument/2006/relationships/image" Target="../media/image13.png"/><Relationship Id="rId27" Type="http://schemas.openxmlformats.org/officeDocument/2006/relationships/hyperlink" Target="#'Lower Carbon Power'!A1"/><Relationship Id="rId30" Type="http://schemas.openxmlformats.org/officeDocument/2006/relationships/image" Target="../media/image17.png"/></Relationships>
</file>

<file path=xl/drawings/_rels/drawing4.xml.rels><?xml version="1.0" encoding="UTF-8" standalone="yes"?>
<Relationships xmlns="http://schemas.openxmlformats.org/package/2006/relationships"><Relationship Id="rId8" Type="http://schemas.openxmlformats.org/officeDocument/2006/relationships/image" Target="../media/image43.jpeg"/><Relationship Id="rId13" Type="http://schemas.openxmlformats.org/officeDocument/2006/relationships/hyperlink" Target="#Abbreviations!A1"/><Relationship Id="rId18" Type="http://schemas.openxmlformats.org/officeDocument/2006/relationships/image" Target="../media/image48.jpeg"/><Relationship Id="rId26" Type="http://schemas.openxmlformats.org/officeDocument/2006/relationships/image" Target="../media/image15.png"/><Relationship Id="rId3" Type="http://schemas.openxmlformats.org/officeDocument/2006/relationships/hyperlink" Target="#'Terms and Conditions'!A1"/><Relationship Id="rId21" Type="http://schemas.openxmlformats.org/officeDocument/2006/relationships/hyperlink" Target="#'Gas and LNG'!A1"/><Relationship Id="rId7" Type="http://schemas.openxmlformats.org/officeDocument/2006/relationships/hyperlink" Target="#Dashboard!A1"/><Relationship Id="rId12" Type="http://schemas.openxmlformats.org/officeDocument/2006/relationships/image" Target="../media/image45.jpeg"/><Relationship Id="rId17" Type="http://schemas.openxmlformats.org/officeDocument/2006/relationships/hyperlink" Target="#Home!A1"/><Relationship Id="rId25" Type="http://schemas.openxmlformats.org/officeDocument/2006/relationships/hyperlink" Target="#Biofuels!A1"/><Relationship Id="rId2" Type="http://schemas.openxmlformats.org/officeDocument/2006/relationships/image" Target="../media/image40.jpeg"/><Relationship Id="rId16" Type="http://schemas.openxmlformats.org/officeDocument/2006/relationships/image" Target="../media/image47.jpeg"/><Relationship Id="rId20" Type="http://schemas.openxmlformats.org/officeDocument/2006/relationships/image" Target="../media/image49.jpeg"/><Relationship Id="rId29" Type="http://schemas.openxmlformats.org/officeDocument/2006/relationships/hyperlink" Target="#FAQ!A1"/><Relationship Id="rId1" Type="http://schemas.openxmlformats.org/officeDocument/2006/relationships/hyperlink" Target="#Education!A1"/><Relationship Id="rId6" Type="http://schemas.openxmlformats.org/officeDocument/2006/relationships/image" Target="../media/image42.jpeg"/><Relationship Id="rId11" Type="http://schemas.openxmlformats.org/officeDocument/2006/relationships/hyperlink" Target="#' Alt Calc - Refined Products'!A1"/><Relationship Id="rId24" Type="http://schemas.openxmlformats.org/officeDocument/2006/relationships/image" Target="../media/image14.png"/><Relationship Id="rId5" Type="http://schemas.openxmlformats.org/officeDocument/2006/relationships/hyperlink" Target="#'User Guide'!A1"/><Relationship Id="rId15" Type="http://schemas.openxmlformats.org/officeDocument/2006/relationships/hyperlink" Target="#'Oil and Refined Products'!A1"/><Relationship Id="rId23" Type="http://schemas.openxmlformats.org/officeDocument/2006/relationships/hyperlink" Target="#Hydrogen!A1"/><Relationship Id="rId28" Type="http://schemas.openxmlformats.org/officeDocument/2006/relationships/image" Target="../media/image16.png"/><Relationship Id="rId10" Type="http://schemas.openxmlformats.org/officeDocument/2006/relationships/image" Target="../media/image44.jpeg"/><Relationship Id="rId19" Type="http://schemas.openxmlformats.org/officeDocument/2006/relationships/hyperlink" Target="#NGLs!A1"/><Relationship Id="rId4" Type="http://schemas.openxmlformats.org/officeDocument/2006/relationships/image" Target="../media/image41.jpeg"/><Relationship Id="rId9" Type="http://schemas.openxmlformats.org/officeDocument/2006/relationships/hyperlink" Target="#Factors!A1"/><Relationship Id="rId14" Type="http://schemas.openxmlformats.org/officeDocument/2006/relationships/image" Target="../media/image46.jpeg"/><Relationship Id="rId22" Type="http://schemas.openxmlformats.org/officeDocument/2006/relationships/image" Target="../media/image13.png"/><Relationship Id="rId27" Type="http://schemas.openxmlformats.org/officeDocument/2006/relationships/hyperlink" Target="#'Lower Carbon Power'!A1"/><Relationship Id="rId30" Type="http://schemas.openxmlformats.org/officeDocument/2006/relationships/image" Target="../media/image17.png"/></Relationships>
</file>

<file path=xl/drawings/_rels/drawing5.xml.rels><?xml version="1.0" encoding="UTF-8" standalone="yes"?>
<Relationships xmlns="http://schemas.openxmlformats.org/package/2006/relationships"><Relationship Id="rId8" Type="http://schemas.openxmlformats.org/officeDocument/2006/relationships/image" Target="../media/image34.jpeg"/><Relationship Id="rId13" Type="http://schemas.openxmlformats.org/officeDocument/2006/relationships/hyperlink" Target="#Abbreviations!A1"/><Relationship Id="rId18" Type="http://schemas.openxmlformats.org/officeDocument/2006/relationships/image" Target="../media/image38.jpeg"/><Relationship Id="rId26" Type="http://schemas.openxmlformats.org/officeDocument/2006/relationships/image" Target="../media/image15.png"/><Relationship Id="rId3" Type="http://schemas.openxmlformats.org/officeDocument/2006/relationships/hyperlink" Target="#'Terms and Conditions'!A1"/><Relationship Id="rId21" Type="http://schemas.openxmlformats.org/officeDocument/2006/relationships/hyperlink" Target="#'Gas and LNG'!A1"/><Relationship Id="rId7" Type="http://schemas.openxmlformats.org/officeDocument/2006/relationships/hyperlink" Target="#Dashboard!A1"/><Relationship Id="rId12" Type="http://schemas.openxmlformats.org/officeDocument/2006/relationships/image" Target="../media/image36.jpeg"/><Relationship Id="rId17" Type="http://schemas.openxmlformats.org/officeDocument/2006/relationships/hyperlink" Target="#Home!A1"/><Relationship Id="rId25" Type="http://schemas.openxmlformats.org/officeDocument/2006/relationships/hyperlink" Target="#Biofuels!A1"/><Relationship Id="rId2" Type="http://schemas.openxmlformats.org/officeDocument/2006/relationships/image" Target="../media/image21.jpeg"/><Relationship Id="rId16" Type="http://schemas.openxmlformats.org/officeDocument/2006/relationships/image" Target="../media/image37.jpeg"/><Relationship Id="rId20" Type="http://schemas.openxmlformats.org/officeDocument/2006/relationships/image" Target="../media/image39.jpeg"/><Relationship Id="rId29" Type="http://schemas.openxmlformats.org/officeDocument/2006/relationships/hyperlink" Target="#FAQ!A1"/><Relationship Id="rId1" Type="http://schemas.openxmlformats.org/officeDocument/2006/relationships/hyperlink" Target="#Education!A1"/><Relationship Id="rId6" Type="http://schemas.openxmlformats.org/officeDocument/2006/relationships/image" Target="../media/image33.jpeg"/><Relationship Id="rId11" Type="http://schemas.openxmlformats.org/officeDocument/2006/relationships/hyperlink" Target="#' Alt Calc - Refined Products'!A1"/><Relationship Id="rId24" Type="http://schemas.openxmlformats.org/officeDocument/2006/relationships/image" Target="../media/image14.png"/><Relationship Id="rId5" Type="http://schemas.openxmlformats.org/officeDocument/2006/relationships/hyperlink" Target="#'User Guide'!A1"/><Relationship Id="rId15" Type="http://schemas.openxmlformats.org/officeDocument/2006/relationships/hyperlink" Target="#'Oil and Refined Products'!A1"/><Relationship Id="rId23" Type="http://schemas.openxmlformats.org/officeDocument/2006/relationships/hyperlink" Target="#Hydrogen!A1"/><Relationship Id="rId28" Type="http://schemas.openxmlformats.org/officeDocument/2006/relationships/image" Target="../media/image16.png"/><Relationship Id="rId10" Type="http://schemas.openxmlformats.org/officeDocument/2006/relationships/image" Target="../media/image35.jpeg"/><Relationship Id="rId19" Type="http://schemas.openxmlformats.org/officeDocument/2006/relationships/hyperlink" Target="#NGLs!A1"/><Relationship Id="rId4" Type="http://schemas.openxmlformats.org/officeDocument/2006/relationships/image" Target="../media/image32.jpeg"/><Relationship Id="rId9" Type="http://schemas.openxmlformats.org/officeDocument/2006/relationships/hyperlink" Target="#Factors!A1"/><Relationship Id="rId14" Type="http://schemas.openxmlformats.org/officeDocument/2006/relationships/image" Target="../media/image27.jpeg"/><Relationship Id="rId22" Type="http://schemas.openxmlformats.org/officeDocument/2006/relationships/image" Target="../media/image13.png"/><Relationship Id="rId27" Type="http://schemas.openxmlformats.org/officeDocument/2006/relationships/hyperlink" Target="#'Lower Carbon Power'!A1"/><Relationship Id="rId30" Type="http://schemas.openxmlformats.org/officeDocument/2006/relationships/image" Target="../media/image17.png"/></Relationships>
</file>

<file path=xl/drawings/_rels/drawing6.xml.rels><?xml version="1.0" encoding="UTF-8" standalone="yes"?>
<Relationships xmlns="http://schemas.openxmlformats.org/package/2006/relationships"><Relationship Id="rId13" Type="http://schemas.openxmlformats.org/officeDocument/2006/relationships/hyperlink" Target="#' Alt Calc - Refined Products'!A1"/><Relationship Id="rId18" Type="http://schemas.openxmlformats.org/officeDocument/2006/relationships/image" Target="../media/image32.jpeg"/><Relationship Id="rId26" Type="http://schemas.openxmlformats.org/officeDocument/2006/relationships/hyperlink" Target="#Abbreviations!A1"/><Relationship Id="rId21" Type="http://schemas.openxmlformats.org/officeDocument/2006/relationships/hyperlink" Target="#Dashboard!A1"/><Relationship Id="rId34" Type="http://schemas.openxmlformats.org/officeDocument/2006/relationships/image" Target="../media/image15.png"/><Relationship Id="rId7" Type="http://schemas.openxmlformats.org/officeDocument/2006/relationships/hyperlink" Target="#NGLs!A1"/><Relationship Id="rId12" Type="http://schemas.openxmlformats.org/officeDocument/2006/relationships/image" Target="../media/image52.jpeg"/><Relationship Id="rId17" Type="http://schemas.openxmlformats.org/officeDocument/2006/relationships/hyperlink" Target="#'Terms and Conditions'!A1"/><Relationship Id="rId25" Type="http://schemas.openxmlformats.org/officeDocument/2006/relationships/image" Target="../media/image57.jpeg"/><Relationship Id="rId33" Type="http://schemas.openxmlformats.org/officeDocument/2006/relationships/image" Target="../media/image14.png"/><Relationship Id="rId2" Type="http://schemas.openxmlformats.org/officeDocument/2006/relationships/chart" Target="../charts/chart2.xml"/><Relationship Id="rId16" Type="http://schemas.openxmlformats.org/officeDocument/2006/relationships/image" Target="../media/image54.jpeg"/><Relationship Id="rId20" Type="http://schemas.openxmlformats.org/officeDocument/2006/relationships/image" Target="../media/image55.jpeg"/><Relationship Id="rId29" Type="http://schemas.openxmlformats.org/officeDocument/2006/relationships/hyperlink" Target="#Home!A1"/><Relationship Id="rId1" Type="http://schemas.openxmlformats.org/officeDocument/2006/relationships/chart" Target="../charts/chart1.xml"/><Relationship Id="rId6" Type="http://schemas.openxmlformats.org/officeDocument/2006/relationships/hyperlink" Target="#'Gas and LNG'!A1"/><Relationship Id="rId11" Type="http://schemas.openxmlformats.org/officeDocument/2006/relationships/hyperlink" Target="#'Lower Carbon Power'!A1"/><Relationship Id="rId24" Type="http://schemas.openxmlformats.org/officeDocument/2006/relationships/image" Target="../media/image56.jpeg"/><Relationship Id="rId32" Type="http://schemas.openxmlformats.org/officeDocument/2006/relationships/image" Target="../media/image13.png"/><Relationship Id="rId37" Type="http://schemas.openxmlformats.org/officeDocument/2006/relationships/image" Target="../media/image17.png"/><Relationship Id="rId5" Type="http://schemas.openxmlformats.org/officeDocument/2006/relationships/image" Target="../media/image50.jpeg"/><Relationship Id="rId15" Type="http://schemas.openxmlformats.org/officeDocument/2006/relationships/hyperlink" Target="#Education!A1"/><Relationship Id="rId23" Type="http://schemas.openxmlformats.org/officeDocument/2006/relationships/hyperlink" Target="#Factors!A1"/><Relationship Id="rId28" Type="http://schemas.openxmlformats.org/officeDocument/2006/relationships/image" Target="../media/image58.jpeg"/><Relationship Id="rId36" Type="http://schemas.openxmlformats.org/officeDocument/2006/relationships/hyperlink" Target="#FAQ!A1"/><Relationship Id="rId10" Type="http://schemas.openxmlformats.org/officeDocument/2006/relationships/image" Target="../media/image51.jpeg"/><Relationship Id="rId19" Type="http://schemas.openxmlformats.org/officeDocument/2006/relationships/hyperlink" Target="#'User Guide'!A1"/><Relationship Id="rId31" Type="http://schemas.openxmlformats.org/officeDocument/2006/relationships/image" Target="../media/image30.jpeg"/><Relationship Id="rId4" Type="http://schemas.openxmlformats.org/officeDocument/2006/relationships/hyperlink" Target="#'Oil and Refined Products'!A1"/><Relationship Id="rId9" Type="http://schemas.openxmlformats.org/officeDocument/2006/relationships/hyperlink" Target="#Hydrogen!A1"/><Relationship Id="rId14" Type="http://schemas.openxmlformats.org/officeDocument/2006/relationships/image" Target="../media/image53.png"/><Relationship Id="rId22" Type="http://schemas.openxmlformats.org/officeDocument/2006/relationships/image" Target="../media/image34.jpeg"/><Relationship Id="rId27" Type="http://schemas.openxmlformats.org/officeDocument/2006/relationships/image" Target="../media/image27.jpeg"/><Relationship Id="rId30" Type="http://schemas.openxmlformats.org/officeDocument/2006/relationships/image" Target="../media/image59.jpeg"/><Relationship Id="rId35" Type="http://schemas.openxmlformats.org/officeDocument/2006/relationships/image" Target="../media/image16.png"/><Relationship Id="rId8" Type="http://schemas.openxmlformats.org/officeDocument/2006/relationships/hyperlink" Target="#Biofuels!A1"/><Relationship Id="rId3" Type="http://schemas.openxmlformats.org/officeDocument/2006/relationships/chart" Target="../charts/chart3.xml"/></Relationships>
</file>

<file path=xl/drawings/_rels/drawing7.xml.rels><?xml version="1.0" encoding="UTF-8" standalone="yes"?>
<Relationships xmlns="http://schemas.openxmlformats.org/package/2006/relationships"><Relationship Id="rId8" Type="http://schemas.openxmlformats.org/officeDocument/2006/relationships/image" Target="../media/image24.jpeg"/><Relationship Id="rId13" Type="http://schemas.openxmlformats.org/officeDocument/2006/relationships/hyperlink" Target="#Abbreviations!A1"/><Relationship Id="rId18" Type="http://schemas.openxmlformats.org/officeDocument/2006/relationships/image" Target="../media/image29.jpeg"/><Relationship Id="rId26" Type="http://schemas.openxmlformats.org/officeDocument/2006/relationships/image" Target="../media/image15.png"/><Relationship Id="rId3" Type="http://schemas.openxmlformats.org/officeDocument/2006/relationships/hyperlink" Target="#'Terms and Conditions'!A1"/><Relationship Id="rId21" Type="http://schemas.openxmlformats.org/officeDocument/2006/relationships/hyperlink" Target="#'Gas and LNG'!A1"/><Relationship Id="rId7" Type="http://schemas.openxmlformats.org/officeDocument/2006/relationships/hyperlink" Target="#Dashboard!A1"/><Relationship Id="rId12" Type="http://schemas.openxmlformats.org/officeDocument/2006/relationships/image" Target="../media/image26.jpeg"/><Relationship Id="rId17" Type="http://schemas.openxmlformats.org/officeDocument/2006/relationships/hyperlink" Target="#Home!A1"/><Relationship Id="rId25" Type="http://schemas.openxmlformats.org/officeDocument/2006/relationships/hyperlink" Target="#Biofuels!A1"/><Relationship Id="rId2" Type="http://schemas.openxmlformats.org/officeDocument/2006/relationships/image" Target="../media/image21.jpeg"/><Relationship Id="rId16" Type="http://schemas.openxmlformats.org/officeDocument/2006/relationships/image" Target="../media/image28.jpeg"/><Relationship Id="rId20" Type="http://schemas.openxmlformats.org/officeDocument/2006/relationships/image" Target="../media/image30.jpeg"/><Relationship Id="rId29" Type="http://schemas.openxmlformats.org/officeDocument/2006/relationships/hyperlink" Target="#FAQ!A1"/><Relationship Id="rId1" Type="http://schemas.openxmlformats.org/officeDocument/2006/relationships/hyperlink" Target="#Education!A1"/><Relationship Id="rId6" Type="http://schemas.openxmlformats.org/officeDocument/2006/relationships/image" Target="../media/image23.jpeg"/><Relationship Id="rId11" Type="http://schemas.openxmlformats.org/officeDocument/2006/relationships/hyperlink" Target="#' Alt Calc - Refined Products'!A1"/><Relationship Id="rId24" Type="http://schemas.openxmlformats.org/officeDocument/2006/relationships/image" Target="../media/image14.png"/><Relationship Id="rId5" Type="http://schemas.openxmlformats.org/officeDocument/2006/relationships/hyperlink" Target="#'User Guide'!A1"/><Relationship Id="rId15" Type="http://schemas.openxmlformats.org/officeDocument/2006/relationships/hyperlink" Target="#'Oil and Refined Products'!A1"/><Relationship Id="rId23" Type="http://schemas.openxmlformats.org/officeDocument/2006/relationships/hyperlink" Target="#Hydrogen!A1"/><Relationship Id="rId28" Type="http://schemas.openxmlformats.org/officeDocument/2006/relationships/image" Target="../media/image16.png"/><Relationship Id="rId10" Type="http://schemas.openxmlformats.org/officeDocument/2006/relationships/image" Target="../media/image25.jpeg"/><Relationship Id="rId19" Type="http://schemas.openxmlformats.org/officeDocument/2006/relationships/hyperlink" Target="#NGLs!A1"/><Relationship Id="rId4" Type="http://schemas.openxmlformats.org/officeDocument/2006/relationships/image" Target="../media/image22.jpeg"/><Relationship Id="rId9" Type="http://schemas.openxmlformats.org/officeDocument/2006/relationships/hyperlink" Target="#Factors!A1"/><Relationship Id="rId14" Type="http://schemas.openxmlformats.org/officeDocument/2006/relationships/image" Target="../media/image27.jpeg"/><Relationship Id="rId22" Type="http://schemas.openxmlformats.org/officeDocument/2006/relationships/image" Target="../media/image13.png"/><Relationship Id="rId27" Type="http://schemas.openxmlformats.org/officeDocument/2006/relationships/hyperlink" Target="#'Lower Carbon Power'!A1"/><Relationship Id="rId30" Type="http://schemas.openxmlformats.org/officeDocument/2006/relationships/image" Target="../media/image17.png"/></Relationships>
</file>

<file path=xl/drawings/_rels/drawing8.xml.rels><?xml version="1.0" encoding="UTF-8" standalone="yes"?>
<Relationships xmlns="http://schemas.openxmlformats.org/package/2006/relationships"><Relationship Id="rId8" Type="http://schemas.openxmlformats.org/officeDocument/2006/relationships/image" Target="../media/image24.jpeg"/><Relationship Id="rId13" Type="http://schemas.openxmlformats.org/officeDocument/2006/relationships/hyperlink" Target="#Abbreviations!A1"/><Relationship Id="rId18" Type="http://schemas.openxmlformats.org/officeDocument/2006/relationships/image" Target="../media/image29.jpeg"/><Relationship Id="rId26" Type="http://schemas.openxmlformats.org/officeDocument/2006/relationships/image" Target="../media/image15.png"/><Relationship Id="rId3" Type="http://schemas.openxmlformats.org/officeDocument/2006/relationships/hyperlink" Target="#'Terms and Conditions'!A1"/><Relationship Id="rId21" Type="http://schemas.openxmlformats.org/officeDocument/2006/relationships/hyperlink" Target="#'Gas and LNG'!A1"/><Relationship Id="rId7" Type="http://schemas.openxmlformats.org/officeDocument/2006/relationships/hyperlink" Target="#Dashboard!A1"/><Relationship Id="rId12" Type="http://schemas.openxmlformats.org/officeDocument/2006/relationships/image" Target="../media/image26.jpeg"/><Relationship Id="rId17" Type="http://schemas.openxmlformats.org/officeDocument/2006/relationships/hyperlink" Target="#Home!A1"/><Relationship Id="rId25" Type="http://schemas.openxmlformats.org/officeDocument/2006/relationships/hyperlink" Target="#Biofuels!A1"/><Relationship Id="rId2" Type="http://schemas.openxmlformats.org/officeDocument/2006/relationships/image" Target="../media/image21.jpeg"/><Relationship Id="rId16" Type="http://schemas.openxmlformats.org/officeDocument/2006/relationships/image" Target="../media/image28.jpeg"/><Relationship Id="rId20" Type="http://schemas.openxmlformats.org/officeDocument/2006/relationships/image" Target="../media/image30.jpeg"/><Relationship Id="rId29" Type="http://schemas.openxmlformats.org/officeDocument/2006/relationships/hyperlink" Target="#FAQ!A1"/><Relationship Id="rId1" Type="http://schemas.openxmlformats.org/officeDocument/2006/relationships/hyperlink" Target="#Education!A1"/><Relationship Id="rId6" Type="http://schemas.openxmlformats.org/officeDocument/2006/relationships/image" Target="../media/image23.jpeg"/><Relationship Id="rId11" Type="http://schemas.openxmlformats.org/officeDocument/2006/relationships/hyperlink" Target="#' Alt Calc - Refined Products'!A1"/><Relationship Id="rId24" Type="http://schemas.openxmlformats.org/officeDocument/2006/relationships/image" Target="../media/image14.png"/><Relationship Id="rId5" Type="http://schemas.openxmlformats.org/officeDocument/2006/relationships/hyperlink" Target="#'User Guide'!A1"/><Relationship Id="rId15" Type="http://schemas.openxmlformats.org/officeDocument/2006/relationships/hyperlink" Target="#'Oil and Refined Products'!A1"/><Relationship Id="rId23" Type="http://schemas.openxmlformats.org/officeDocument/2006/relationships/hyperlink" Target="#Hydrogen!A1"/><Relationship Id="rId28" Type="http://schemas.openxmlformats.org/officeDocument/2006/relationships/image" Target="../media/image16.png"/><Relationship Id="rId10" Type="http://schemas.openxmlformats.org/officeDocument/2006/relationships/image" Target="../media/image25.jpeg"/><Relationship Id="rId19" Type="http://schemas.openxmlformats.org/officeDocument/2006/relationships/hyperlink" Target="#NGLs!A1"/><Relationship Id="rId4" Type="http://schemas.openxmlformats.org/officeDocument/2006/relationships/image" Target="../media/image22.jpeg"/><Relationship Id="rId9" Type="http://schemas.openxmlformats.org/officeDocument/2006/relationships/hyperlink" Target="#Factors!A1"/><Relationship Id="rId14" Type="http://schemas.openxmlformats.org/officeDocument/2006/relationships/image" Target="../media/image27.jpeg"/><Relationship Id="rId22" Type="http://schemas.openxmlformats.org/officeDocument/2006/relationships/image" Target="../media/image13.png"/><Relationship Id="rId27" Type="http://schemas.openxmlformats.org/officeDocument/2006/relationships/hyperlink" Target="#'Lower Carbon Power'!A1"/><Relationship Id="rId30" Type="http://schemas.openxmlformats.org/officeDocument/2006/relationships/image" Target="../media/image17.png"/></Relationships>
</file>

<file path=xl/drawings/_rels/drawing9.xml.rels><?xml version="1.0" encoding="UTF-8" standalone="yes"?>
<Relationships xmlns="http://schemas.openxmlformats.org/package/2006/relationships"><Relationship Id="rId8" Type="http://schemas.openxmlformats.org/officeDocument/2006/relationships/image" Target="../media/image24.jpeg"/><Relationship Id="rId13" Type="http://schemas.openxmlformats.org/officeDocument/2006/relationships/hyperlink" Target="#Abbreviations!A1"/><Relationship Id="rId18" Type="http://schemas.openxmlformats.org/officeDocument/2006/relationships/image" Target="../media/image29.jpeg"/><Relationship Id="rId26" Type="http://schemas.openxmlformats.org/officeDocument/2006/relationships/image" Target="../media/image15.png"/><Relationship Id="rId3" Type="http://schemas.openxmlformats.org/officeDocument/2006/relationships/hyperlink" Target="#'Terms and Conditions'!A1"/><Relationship Id="rId21" Type="http://schemas.openxmlformats.org/officeDocument/2006/relationships/hyperlink" Target="#'Gas and LNG'!A1"/><Relationship Id="rId7" Type="http://schemas.openxmlformats.org/officeDocument/2006/relationships/hyperlink" Target="#Dashboard!A1"/><Relationship Id="rId12" Type="http://schemas.openxmlformats.org/officeDocument/2006/relationships/image" Target="../media/image26.jpeg"/><Relationship Id="rId17" Type="http://schemas.openxmlformats.org/officeDocument/2006/relationships/hyperlink" Target="#Home!A1"/><Relationship Id="rId25" Type="http://schemas.openxmlformats.org/officeDocument/2006/relationships/hyperlink" Target="#Biofuels!A1"/><Relationship Id="rId2" Type="http://schemas.openxmlformats.org/officeDocument/2006/relationships/image" Target="../media/image21.jpeg"/><Relationship Id="rId16" Type="http://schemas.openxmlformats.org/officeDocument/2006/relationships/image" Target="../media/image28.jpeg"/><Relationship Id="rId20" Type="http://schemas.openxmlformats.org/officeDocument/2006/relationships/image" Target="../media/image30.jpeg"/><Relationship Id="rId29" Type="http://schemas.openxmlformats.org/officeDocument/2006/relationships/hyperlink" Target="#FAQ!A1"/><Relationship Id="rId1" Type="http://schemas.openxmlformats.org/officeDocument/2006/relationships/hyperlink" Target="#Education!A1"/><Relationship Id="rId6" Type="http://schemas.openxmlformats.org/officeDocument/2006/relationships/image" Target="../media/image23.jpeg"/><Relationship Id="rId11" Type="http://schemas.openxmlformats.org/officeDocument/2006/relationships/hyperlink" Target="#' Alt Calc - Refined Products'!A1"/><Relationship Id="rId24" Type="http://schemas.openxmlformats.org/officeDocument/2006/relationships/image" Target="../media/image14.png"/><Relationship Id="rId5" Type="http://schemas.openxmlformats.org/officeDocument/2006/relationships/hyperlink" Target="#'User Guide'!A1"/><Relationship Id="rId15" Type="http://schemas.openxmlformats.org/officeDocument/2006/relationships/hyperlink" Target="#'Oil and Refined Products'!A1"/><Relationship Id="rId23" Type="http://schemas.openxmlformats.org/officeDocument/2006/relationships/hyperlink" Target="#Hydrogen!A1"/><Relationship Id="rId28" Type="http://schemas.openxmlformats.org/officeDocument/2006/relationships/image" Target="../media/image16.png"/><Relationship Id="rId10" Type="http://schemas.openxmlformats.org/officeDocument/2006/relationships/image" Target="../media/image25.jpeg"/><Relationship Id="rId19" Type="http://schemas.openxmlformats.org/officeDocument/2006/relationships/hyperlink" Target="#NGLs!A1"/><Relationship Id="rId4" Type="http://schemas.openxmlformats.org/officeDocument/2006/relationships/image" Target="../media/image22.jpeg"/><Relationship Id="rId9" Type="http://schemas.openxmlformats.org/officeDocument/2006/relationships/hyperlink" Target="#Factors!A1"/><Relationship Id="rId14" Type="http://schemas.openxmlformats.org/officeDocument/2006/relationships/image" Target="../media/image27.jpeg"/><Relationship Id="rId22" Type="http://schemas.openxmlformats.org/officeDocument/2006/relationships/image" Target="../media/image13.png"/><Relationship Id="rId27" Type="http://schemas.openxmlformats.org/officeDocument/2006/relationships/hyperlink" Target="#'Lower Carbon Power'!A1"/><Relationship Id="rId30" Type="http://schemas.openxmlformats.org/officeDocument/2006/relationships/image" Target="../media/image17.png"/></Relationships>
</file>

<file path=xl/drawings/_rels/drawing10.xml.rels><?xml version="1.0" encoding="UTF-8" standalone="yes"?>
<Relationships xmlns="http://schemas.openxmlformats.org/package/2006/relationships"><Relationship Id="rId8" Type="http://schemas.openxmlformats.org/officeDocument/2006/relationships/image" Target="../media/image24.jpeg"/><Relationship Id="rId13" Type="http://schemas.openxmlformats.org/officeDocument/2006/relationships/hyperlink" Target="#Abbreviations!A1"/><Relationship Id="rId18" Type="http://schemas.openxmlformats.org/officeDocument/2006/relationships/image" Target="../media/image29.jpeg"/><Relationship Id="rId26" Type="http://schemas.openxmlformats.org/officeDocument/2006/relationships/image" Target="../media/image15.png"/><Relationship Id="rId3" Type="http://schemas.openxmlformats.org/officeDocument/2006/relationships/hyperlink" Target="#'Terms and Conditions'!A1"/><Relationship Id="rId21" Type="http://schemas.openxmlformats.org/officeDocument/2006/relationships/hyperlink" Target="#'Gas and LNG'!A1"/><Relationship Id="rId7" Type="http://schemas.openxmlformats.org/officeDocument/2006/relationships/hyperlink" Target="#Dashboard!A1"/><Relationship Id="rId12" Type="http://schemas.openxmlformats.org/officeDocument/2006/relationships/image" Target="../media/image26.jpeg"/><Relationship Id="rId17" Type="http://schemas.openxmlformats.org/officeDocument/2006/relationships/hyperlink" Target="#Home!A1"/><Relationship Id="rId25" Type="http://schemas.openxmlformats.org/officeDocument/2006/relationships/hyperlink" Target="#Biofuels!A1"/><Relationship Id="rId2" Type="http://schemas.openxmlformats.org/officeDocument/2006/relationships/image" Target="../media/image21.jpeg"/><Relationship Id="rId16" Type="http://schemas.openxmlformats.org/officeDocument/2006/relationships/image" Target="../media/image28.jpeg"/><Relationship Id="rId20" Type="http://schemas.openxmlformats.org/officeDocument/2006/relationships/image" Target="../media/image30.jpeg"/><Relationship Id="rId29" Type="http://schemas.openxmlformats.org/officeDocument/2006/relationships/hyperlink" Target="#FAQ!A1"/><Relationship Id="rId1" Type="http://schemas.openxmlformats.org/officeDocument/2006/relationships/hyperlink" Target="#Education!A1"/><Relationship Id="rId6" Type="http://schemas.openxmlformats.org/officeDocument/2006/relationships/image" Target="../media/image23.jpeg"/><Relationship Id="rId11" Type="http://schemas.openxmlformats.org/officeDocument/2006/relationships/hyperlink" Target="#' Alt Calc - Refined Products'!A1"/><Relationship Id="rId24" Type="http://schemas.openxmlformats.org/officeDocument/2006/relationships/image" Target="../media/image14.png"/><Relationship Id="rId5" Type="http://schemas.openxmlformats.org/officeDocument/2006/relationships/hyperlink" Target="#'User Guide'!A1"/><Relationship Id="rId15" Type="http://schemas.openxmlformats.org/officeDocument/2006/relationships/hyperlink" Target="#'Oil and Refined Products'!A1"/><Relationship Id="rId23" Type="http://schemas.openxmlformats.org/officeDocument/2006/relationships/hyperlink" Target="#Hydrogen!A1"/><Relationship Id="rId28" Type="http://schemas.openxmlformats.org/officeDocument/2006/relationships/image" Target="../media/image16.png"/><Relationship Id="rId10" Type="http://schemas.openxmlformats.org/officeDocument/2006/relationships/image" Target="../media/image25.jpeg"/><Relationship Id="rId19" Type="http://schemas.openxmlformats.org/officeDocument/2006/relationships/hyperlink" Target="#NGLs!A1"/><Relationship Id="rId4" Type="http://schemas.openxmlformats.org/officeDocument/2006/relationships/image" Target="../media/image22.jpeg"/><Relationship Id="rId9" Type="http://schemas.openxmlformats.org/officeDocument/2006/relationships/hyperlink" Target="#Factors!A1"/><Relationship Id="rId14" Type="http://schemas.openxmlformats.org/officeDocument/2006/relationships/image" Target="../media/image27.jpeg"/><Relationship Id="rId22" Type="http://schemas.openxmlformats.org/officeDocument/2006/relationships/image" Target="../media/image13.png"/><Relationship Id="rId27" Type="http://schemas.openxmlformats.org/officeDocument/2006/relationships/hyperlink" Target="#'Lower Carbon Power'!A1"/><Relationship Id="rId30" Type="http://schemas.openxmlformats.org/officeDocument/2006/relationships/image" Target="../media/image17.png"/></Relationships>
</file>

<file path=xl/drawings/_rels/drawing11.xml.rels><?xml version="1.0" encoding="UTF-8" standalone="yes"?>
<Relationships xmlns="http://schemas.openxmlformats.org/package/2006/relationships"><Relationship Id="rId8" Type="http://schemas.openxmlformats.org/officeDocument/2006/relationships/image" Target="../media/image24.jpeg"/><Relationship Id="rId13" Type="http://schemas.openxmlformats.org/officeDocument/2006/relationships/hyperlink" Target="#Abbreviations!A1"/><Relationship Id="rId18" Type="http://schemas.openxmlformats.org/officeDocument/2006/relationships/image" Target="../media/image29.jpeg"/><Relationship Id="rId26" Type="http://schemas.openxmlformats.org/officeDocument/2006/relationships/image" Target="../media/image15.png"/><Relationship Id="rId3" Type="http://schemas.openxmlformats.org/officeDocument/2006/relationships/hyperlink" Target="#'Terms and Conditions'!A1"/><Relationship Id="rId21" Type="http://schemas.openxmlformats.org/officeDocument/2006/relationships/hyperlink" Target="#'Gas and LNG'!A1"/><Relationship Id="rId7" Type="http://schemas.openxmlformats.org/officeDocument/2006/relationships/hyperlink" Target="#Dashboard!A1"/><Relationship Id="rId12" Type="http://schemas.openxmlformats.org/officeDocument/2006/relationships/image" Target="../media/image26.jpeg"/><Relationship Id="rId17" Type="http://schemas.openxmlformats.org/officeDocument/2006/relationships/hyperlink" Target="#Home!A1"/><Relationship Id="rId25" Type="http://schemas.openxmlformats.org/officeDocument/2006/relationships/hyperlink" Target="#Biofuels!A1"/><Relationship Id="rId2" Type="http://schemas.openxmlformats.org/officeDocument/2006/relationships/image" Target="../media/image21.jpeg"/><Relationship Id="rId16" Type="http://schemas.openxmlformats.org/officeDocument/2006/relationships/image" Target="../media/image28.jpeg"/><Relationship Id="rId20" Type="http://schemas.openxmlformats.org/officeDocument/2006/relationships/image" Target="../media/image30.jpeg"/><Relationship Id="rId29" Type="http://schemas.openxmlformats.org/officeDocument/2006/relationships/hyperlink" Target="#FAQ!A1"/><Relationship Id="rId1" Type="http://schemas.openxmlformats.org/officeDocument/2006/relationships/hyperlink" Target="#Education!A1"/><Relationship Id="rId6" Type="http://schemas.openxmlformats.org/officeDocument/2006/relationships/image" Target="../media/image23.jpeg"/><Relationship Id="rId11" Type="http://schemas.openxmlformats.org/officeDocument/2006/relationships/hyperlink" Target="#' Alt Calc - Refined Products'!A1"/><Relationship Id="rId24" Type="http://schemas.openxmlformats.org/officeDocument/2006/relationships/image" Target="../media/image14.png"/><Relationship Id="rId5" Type="http://schemas.openxmlformats.org/officeDocument/2006/relationships/hyperlink" Target="#'User Guide'!A1"/><Relationship Id="rId15" Type="http://schemas.openxmlformats.org/officeDocument/2006/relationships/hyperlink" Target="#'Oil and Refined Products'!A1"/><Relationship Id="rId23" Type="http://schemas.openxmlformats.org/officeDocument/2006/relationships/hyperlink" Target="#Hydrogen!A1"/><Relationship Id="rId28" Type="http://schemas.openxmlformats.org/officeDocument/2006/relationships/image" Target="../media/image16.png"/><Relationship Id="rId10" Type="http://schemas.openxmlformats.org/officeDocument/2006/relationships/image" Target="../media/image25.jpeg"/><Relationship Id="rId19" Type="http://schemas.openxmlformats.org/officeDocument/2006/relationships/hyperlink" Target="#NGLs!A1"/><Relationship Id="rId4" Type="http://schemas.openxmlformats.org/officeDocument/2006/relationships/image" Target="../media/image22.jpeg"/><Relationship Id="rId9" Type="http://schemas.openxmlformats.org/officeDocument/2006/relationships/hyperlink" Target="#Factors!A1"/><Relationship Id="rId14" Type="http://schemas.openxmlformats.org/officeDocument/2006/relationships/image" Target="../media/image27.jpeg"/><Relationship Id="rId22" Type="http://schemas.openxmlformats.org/officeDocument/2006/relationships/image" Target="../media/image13.png"/><Relationship Id="rId27" Type="http://schemas.openxmlformats.org/officeDocument/2006/relationships/hyperlink" Target="#'Lower Carbon Power'!A1"/><Relationship Id="rId30" Type="http://schemas.openxmlformats.org/officeDocument/2006/relationships/image" Target="../media/image17.png"/></Relationships>
</file>

<file path=xl/drawings/_rels/drawing12.xml.rels><?xml version="1.0" encoding="UTF-8" standalone="yes"?>
<Relationships xmlns="http://schemas.openxmlformats.org/package/2006/relationships"><Relationship Id="rId8" Type="http://schemas.openxmlformats.org/officeDocument/2006/relationships/image" Target="../media/image24.jpeg"/><Relationship Id="rId13" Type="http://schemas.openxmlformats.org/officeDocument/2006/relationships/hyperlink" Target="#Abbreviations!A1"/><Relationship Id="rId18" Type="http://schemas.openxmlformats.org/officeDocument/2006/relationships/image" Target="../media/image29.jpeg"/><Relationship Id="rId26" Type="http://schemas.openxmlformats.org/officeDocument/2006/relationships/image" Target="../media/image15.png"/><Relationship Id="rId3" Type="http://schemas.openxmlformats.org/officeDocument/2006/relationships/hyperlink" Target="#'Terms and Conditions'!A1"/><Relationship Id="rId21" Type="http://schemas.openxmlformats.org/officeDocument/2006/relationships/hyperlink" Target="#'Gas and LNG'!A1"/><Relationship Id="rId7" Type="http://schemas.openxmlformats.org/officeDocument/2006/relationships/hyperlink" Target="#Dashboard!A1"/><Relationship Id="rId12" Type="http://schemas.openxmlformats.org/officeDocument/2006/relationships/image" Target="../media/image26.jpeg"/><Relationship Id="rId17" Type="http://schemas.openxmlformats.org/officeDocument/2006/relationships/hyperlink" Target="#Home!A1"/><Relationship Id="rId25" Type="http://schemas.openxmlformats.org/officeDocument/2006/relationships/hyperlink" Target="#Biofuels!A1"/><Relationship Id="rId2" Type="http://schemas.openxmlformats.org/officeDocument/2006/relationships/image" Target="../media/image21.jpeg"/><Relationship Id="rId16" Type="http://schemas.openxmlformats.org/officeDocument/2006/relationships/image" Target="../media/image28.jpeg"/><Relationship Id="rId20" Type="http://schemas.openxmlformats.org/officeDocument/2006/relationships/image" Target="../media/image30.jpeg"/><Relationship Id="rId29" Type="http://schemas.openxmlformats.org/officeDocument/2006/relationships/hyperlink" Target="#FAQ!A1"/><Relationship Id="rId1" Type="http://schemas.openxmlformats.org/officeDocument/2006/relationships/hyperlink" Target="#Education!A1"/><Relationship Id="rId6" Type="http://schemas.openxmlformats.org/officeDocument/2006/relationships/image" Target="../media/image23.jpeg"/><Relationship Id="rId11" Type="http://schemas.openxmlformats.org/officeDocument/2006/relationships/hyperlink" Target="#' Alt Calc - Refined Products'!A1"/><Relationship Id="rId24" Type="http://schemas.openxmlformats.org/officeDocument/2006/relationships/image" Target="../media/image14.png"/><Relationship Id="rId5" Type="http://schemas.openxmlformats.org/officeDocument/2006/relationships/hyperlink" Target="#'User Guide'!A1"/><Relationship Id="rId15" Type="http://schemas.openxmlformats.org/officeDocument/2006/relationships/hyperlink" Target="#'Oil and Refined Products'!A1"/><Relationship Id="rId23" Type="http://schemas.openxmlformats.org/officeDocument/2006/relationships/hyperlink" Target="#Hydrogen!A1"/><Relationship Id="rId28" Type="http://schemas.openxmlformats.org/officeDocument/2006/relationships/image" Target="../media/image16.png"/><Relationship Id="rId10" Type="http://schemas.openxmlformats.org/officeDocument/2006/relationships/image" Target="../media/image25.jpeg"/><Relationship Id="rId19" Type="http://schemas.openxmlformats.org/officeDocument/2006/relationships/hyperlink" Target="#NGLs!A1"/><Relationship Id="rId4" Type="http://schemas.openxmlformats.org/officeDocument/2006/relationships/image" Target="../media/image22.jpeg"/><Relationship Id="rId9" Type="http://schemas.openxmlformats.org/officeDocument/2006/relationships/hyperlink" Target="#Factors!A1"/><Relationship Id="rId14" Type="http://schemas.openxmlformats.org/officeDocument/2006/relationships/image" Target="../media/image27.jpeg"/><Relationship Id="rId22" Type="http://schemas.openxmlformats.org/officeDocument/2006/relationships/image" Target="../media/image13.png"/><Relationship Id="rId27" Type="http://schemas.openxmlformats.org/officeDocument/2006/relationships/hyperlink" Target="#'Lower Carbon Power'!A1"/><Relationship Id="rId30" Type="http://schemas.openxmlformats.org/officeDocument/2006/relationships/image" Target="../media/image17.png"/></Relationships>
</file>

<file path=xl/drawings/_rels/drawing13.xml.rels><?xml version="1.0" encoding="UTF-8" standalone="yes"?>
<Relationships xmlns="http://schemas.openxmlformats.org/package/2006/relationships"><Relationship Id="rId8" Type="http://schemas.openxmlformats.org/officeDocument/2006/relationships/image" Target="../media/image34.jpeg"/><Relationship Id="rId13" Type="http://schemas.openxmlformats.org/officeDocument/2006/relationships/hyperlink" Target="#Abbreviations!A1"/><Relationship Id="rId18" Type="http://schemas.openxmlformats.org/officeDocument/2006/relationships/image" Target="../media/image38.jpeg"/><Relationship Id="rId26" Type="http://schemas.openxmlformats.org/officeDocument/2006/relationships/image" Target="../media/image15.png"/><Relationship Id="rId3" Type="http://schemas.openxmlformats.org/officeDocument/2006/relationships/hyperlink" Target="#'Terms and Conditions'!A1"/><Relationship Id="rId21" Type="http://schemas.openxmlformats.org/officeDocument/2006/relationships/hyperlink" Target="#'Gas and LNG'!A1"/><Relationship Id="rId7" Type="http://schemas.openxmlformats.org/officeDocument/2006/relationships/hyperlink" Target="#Dashboard!A1"/><Relationship Id="rId12" Type="http://schemas.openxmlformats.org/officeDocument/2006/relationships/image" Target="../media/image36.jpeg"/><Relationship Id="rId17" Type="http://schemas.openxmlformats.org/officeDocument/2006/relationships/hyperlink" Target="#Home!A1"/><Relationship Id="rId25" Type="http://schemas.openxmlformats.org/officeDocument/2006/relationships/hyperlink" Target="#Biofuels!A1"/><Relationship Id="rId2" Type="http://schemas.openxmlformats.org/officeDocument/2006/relationships/image" Target="../media/image21.jpeg"/><Relationship Id="rId16" Type="http://schemas.openxmlformats.org/officeDocument/2006/relationships/image" Target="../media/image37.jpeg"/><Relationship Id="rId20" Type="http://schemas.openxmlformats.org/officeDocument/2006/relationships/image" Target="../media/image30.jpeg"/><Relationship Id="rId29" Type="http://schemas.openxmlformats.org/officeDocument/2006/relationships/hyperlink" Target="#FAQ!A1"/><Relationship Id="rId1" Type="http://schemas.openxmlformats.org/officeDocument/2006/relationships/hyperlink" Target="#Education!A1"/><Relationship Id="rId6" Type="http://schemas.openxmlformats.org/officeDocument/2006/relationships/image" Target="../media/image33.jpeg"/><Relationship Id="rId11" Type="http://schemas.openxmlformats.org/officeDocument/2006/relationships/hyperlink" Target="#' Alt Calc - Refined Products'!A1"/><Relationship Id="rId24" Type="http://schemas.openxmlformats.org/officeDocument/2006/relationships/image" Target="../media/image14.png"/><Relationship Id="rId5" Type="http://schemas.openxmlformats.org/officeDocument/2006/relationships/hyperlink" Target="#'User Guide'!A1"/><Relationship Id="rId15" Type="http://schemas.openxmlformats.org/officeDocument/2006/relationships/hyperlink" Target="#'Oil and Refined Products'!A1"/><Relationship Id="rId23" Type="http://schemas.openxmlformats.org/officeDocument/2006/relationships/hyperlink" Target="#Hydrogen!A1"/><Relationship Id="rId28" Type="http://schemas.openxmlformats.org/officeDocument/2006/relationships/image" Target="../media/image16.png"/><Relationship Id="rId10" Type="http://schemas.openxmlformats.org/officeDocument/2006/relationships/image" Target="../media/image35.jpeg"/><Relationship Id="rId19" Type="http://schemas.openxmlformats.org/officeDocument/2006/relationships/hyperlink" Target="#NGLs!A1"/><Relationship Id="rId4" Type="http://schemas.openxmlformats.org/officeDocument/2006/relationships/image" Target="../media/image32.jpeg"/><Relationship Id="rId9" Type="http://schemas.openxmlformats.org/officeDocument/2006/relationships/hyperlink" Target="#Factors!A1"/><Relationship Id="rId14" Type="http://schemas.openxmlformats.org/officeDocument/2006/relationships/image" Target="../media/image27.jpeg"/><Relationship Id="rId22" Type="http://schemas.openxmlformats.org/officeDocument/2006/relationships/image" Target="../media/image13.png"/><Relationship Id="rId27" Type="http://schemas.openxmlformats.org/officeDocument/2006/relationships/hyperlink" Target="#'Lower Carbon Power'!A1"/><Relationship Id="rId30" Type="http://schemas.openxmlformats.org/officeDocument/2006/relationships/image" Target="../media/image17.png"/></Relationships>
</file>

<file path=xl/drawings/_rels/drawing14.xml.rels><?xml version="1.0" encoding="UTF-8" standalone="yes"?>
<Relationships xmlns="http://schemas.openxmlformats.org/package/2006/relationships"><Relationship Id="rId8" Type="http://schemas.openxmlformats.org/officeDocument/2006/relationships/image" Target="../media/image24.jpeg"/><Relationship Id="rId13" Type="http://schemas.openxmlformats.org/officeDocument/2006/relationships/hyperlink" Target="#Abbreviations!A1"/><Relationship Id="rId18" Type="http://schemas.openxmlformats.org/officeDocument/2006/relationships/image" Target="../media/image29.jpeg"/><Relationship Id="rId26" Type="http://schemas.openxmlformats.org/officeDocument/2006/relationships/image" Target="../media/image15.png"/><Relationship Id="rId3" Type="http://schemas.openxmlformats.org/officeDocument/2006/relationships/hyperlink" Target="#'Terms and Conditions'!A1"/><Relationship Id="rId21" Type="http://schemas.openxmlformats.org/officeDocument/2006/relationships/hyperlink" Target="#'Gas and LNG'!A1"/><Relationship Id="rId7" Type="http://schemas.openxmlformats.org/officeDocument/2006/relationships/hyperlink" Target="#Dashboard!A1"/><Relationship Id="rId12" Type="http://schemas.openxmlformats.org/officeDocument/2006/relationships/image" Target="../media/image26.jpeg"/><Relationship Id="rId17" Type="http://schemas.openxmlformats.org/officeDocument/2006/relationships/hyperlink" Target="#Home!A1"/><Relationship Id="rId25" Type="http://schemas.openxmlformats.org/officeDocument/2006/relationships/hyperlink" Target="#Biofuels!A1"/><Relationship Id="rId2" Type="http://schemas.openxmlformats.org/officeDocument/2006/relationships/image" Target="../media/image21.jpeg"/><Relationship Id="rId16" Type="http://schemas.openxmlformats.org/officeDocument/2006/relationships/image" Target="../media/image28.jpeg"/><Relationship Id="rId20" Type="http://schemas.openxmlformats.org/officeDocument/2006/relationships/image" Target="../media/image30.jpeg"/><Relationship Id="rId29" Type="http://schemas.openxmlformats.org/officeDocument/2006/relationships/hyperlink" Target="#FAQ!A1"/><Relationship Id="rId1" Type="http://schemas.openxmlformats.org/officeDocument/2006/relationships/hyperlink" Target="#Education!A1"/><Relationship Id="rId6" Type="http://schemas.openxmlformats.org/officeDocument/2006/relationships/image" Target="../media/image23.jpeg"/><Relationship Id="rId11" Type="http://schemas.openxmlformats.org/officeDocument/2006/relationships/hyperlink" Target="#' Alt Calc - Refined Products'!A1"/><Relationship Id="rId24" Type="http://schemas.openxmlformats.org/officeDocument/2006/relationships/image" Target="../media/image14.png"/><Relationship Id="rId5" Type="http://schemas.openxmlformats.org/officeDocument/2006/relationships/hyperlink" Target="#'User Guide'!A1"/><Relationship Id="rId15" Type="http://schemas.openxmlformats.org/officeDocument/2006/relationships/hyperlink" Target="#'Oil and Refined Products'!A1"/><Relationship Id="rId23" Type="http://schemas.openxmlformats.org/officeDocument/2006/relationships/hyperlink" Target="#Hydrogen!A1"/><Relationship Id="rId28" Type="http://schemas.openxmlformats.org/officeDocument/2006/relationships/image" Target="../media/image16.png"/><Relationship Id="rId10" Type="http://schemas.openxmlformats.org/officeDocument/2006/relationships/image" Target="../media/image25.jpeg"/><Relationship Id="rId19" Type="http://schemas.openxmlformats.org/officeDocument/2006/relationships/hyperlink" Target="#NGLs!A1"/><Relationship Id="rId4" Type="http://schemas.openxmlformats.org/officeDocument/2006/relationships/image" Target="../media/image22.jpeg"/><Relationship Id="rId9" Type="http://schemas.openxmlformats.org/officeDocument/2006/relationships/hyperlink" Target="#Factors!A1"/><Relationship Id="rId14" Type="http://schemas.openxmlformats.org/officeDocument/2006/relationships/image" Target="../media/image27.jpeg"/><Relationship Id="rId22" Type="http://schemas.openxmlformats.org/officeDocument/2006/relationships/image" Target="../media/image13.png"/><Relationship Id="rId27" Type="http://schemas.openxmlformats.org/officeDocument/2006/relationships/hyperlink" Target="#'Lower Carbon Power'!A1"/><Relationship Id="rId30" Type="http://schemas.openxmlformats.org/officeDocument/2006/relationships/image" Target="../media/image17.png"/></Relationships>
</file>

<file path=xl/drawings/_rels/drawing15.xml.rels><?xml version="1.0" encoding="UTF-8" standalone="yes"?>
<Relationships xmlns="http://schemas.openxmlformats.org/package/2006/relationships"><Relationship Id="rId8" Type="http://schemas.openxmlformats.org/officeDocument/2006/relationships/image" Target="../media/image34.jpeg"/><Relationship Id="rId13" Type="http://schemas.openxmlformats.org/officeDocument/2006/relationships/hyperlink" Target="#Abbreviations!A1"/><Relationship Id="rId18" Type="http://schemas.openxmlformats.org/officeDocument/2006/relationships/image" Target="../media/image38.jpeg"/><Relationship Id="rId26" Type="http://schemas.openxmlformats.org/officeDocument/2006/relationships/image" Target="../media/image15.png"/><Relationship Id="rId3" Type="http://schemas.openxmlformats.org/officeDocument/2006/relationships/hyperlink" Target="#'Terms and Conditions'!A1"/><Relationship Id="rId21" Type="http://schemas.openxmlformats.org/officeDocument/2006/relationships/hyperlink" Target="#'Gas and LNG'!A1"/><Relationship Id="rId7" Type="http://schemas.openxmlformats.org/officeDocument/2006/relationships/hyperlink" Target="#Dashboard!A1"/><Relationship Id="rId12" Type="http://schemas.openxmlformats.org/officeDocument/2006/relationships/image" Target="../media/image36.jpeg"/><Relationship Id="rId17" Type="http://schemas.openxmlformats.org/officeDocument/2006/relationships/hyperlink" Target="#Home!A1"/><Relationship Id="rId25" Type="http://schemas.openxmlformats.org/officeDocument/2006/relationships/hyperlink" Target="#Biofuels!A1"/><Relationship Id="rId2" Type="http://schemas.openxmlformats.org/officeDocument/2006/relationships/image" Target="../media/image21.jpeg"/><Relationship Id="rId16" Type="http://schemas.openxmlformats.org/officeDocument/2006/relationships/image" Target="../media/image37.jpeg"/><Relationship Id="rId20" Type="http://schemas.openxmlformats.org/officeDocument/2006/relationships/image" Target="../media/image39.jpeg"/><Relationship Id="rId29" Type="http://schemas.openxmlformats.org/officeDocument/2006/relationships/hyperlink" Target="#FAQ!A1"/><Relationship Id="rId1" Type="http://schemas.openxmlformats.org/officeDocument/2006/relationships/hyperlink" Target="#Education!A1"/><Relationship Id="rId6" Type="http://schemas.openxmlformats.org/officeDocument/2006/relationships/image" Target="../media/image33.jpeg"/><Relationship Id="rId11" Type="http://schemas.openxmlformats.org/officeDocument/2006/relationships/hyperlink" Target="#' Alt Calc - Refined Products'!A1"/><Relationship Id="rId24" Type="http://schemas.openxmlformats.org/officeDocument/2006/relationships/image" Target="../media/image14.png"/><Relationship Id="rId5" Type="http://schemas.openxmlformats.org/officeDocument/2006/relationships/hyperlink" Target="#'User Guide'!A1"/><Relationship Id="rId15" Type="http://schemas.openxmlformats.org/officeDocument/2006/relationships/hyperlink" Target="#'Oil and Refined Products'!A1"/><Relationship Id="rId23" Type="http://schemas.openxmlformats.org/officeDocument/2006/relationships/hyperlink" Target="#Hydrogen!A1"/><Relationship Id="rId28" Type="http://schemas.openxmlformats.org/officeDocument/2006/relationships/image" Target="../media/image16.png"/><Relationship Id="rId10" Type="http://schemas.openxmlformats.org/officeDocument/2006/relationships/image" Target="../media/image35.jpeg"/><Relationship Id="rId19" Type="http://schemas.openxmlformats.org/officeDocument/2006/relationships/hyperlink" Target="#NGLs!A1"/><Relationship Id="rId4" Type="http://schemas.openxmlformats.org/officeDocument/2006/relationships/image" Target="../media/image32.jpeg"/><Relationship Id="rId9" Type="http://schemas.openxmlformats.org/officeDocument/2006/relationships/hyperlink" Target="#Factors!A1"/><Relationship Id="rId14" Type="http://schemas.openxmlformats.org/officeDocument/2006/relationships/image" Target="../media/image27.jpeg"/><Relationship Id="rId22" Type="http://schemas.openxmlformats.org/officeDocument/2006/relationships/image" Target="../media/image13.png"/><Relationship Id="rId27" Type="http://schemas.openxmlformats.org/officeDocument/2006/relationships/hyperlink" Target="#'Lower Carbon Power'!A1"/><Relationship Id="rId30"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absolute">
    <xdr:from>
      <xdr:col>0</xdr:col>
      <xdr:colOff>809625</xdr:colOff>
      <xdr:row>2</xdr:row>
      <xdr:rowOff>8162</xdr:rowOff>
    </xdr:from>
    <xdr:to>
      <xdr:col>3</xdr:col>
      <xdr:colOff>3394023</xdr:colOff>
      <xdr:row>19</xdr:row>
      <xdr:rowOff>19049</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
        <a:srcRect b="77590"/>
        <a:stretch/>
      </xdr:blipFill>
      <xdr:spPr>
        <a:xfrm>
          <a:off x="809625" y="1438273"/>
          <a:ext cx="10442523" cy="2933701"/>
        </a:xfrm>
        <a:prstGeom prst="rect">
          <a:avLst/>
        </a:prstGeom>
      </xdr:spPr>
    </xdr:pic>
    <xdr:clientData/>
  </xdr:twoCellAnchor>
  <xdr:twoCellAnchor editAs="oneCell">
    <xdr:from>
      <xdr:col>0</xdr:col>
      <xdr:colOff>819150</xdr:colOff>
      <xdr:row>19</xdr:row>
      <xdr:rowOff>2066925</xdr:rowOff>
    </xdr:from>
    <xdr:to>
      <xdr:col>3</xdr:col>
      <xdr:colOff>3390900</xdr:colOff>
      <xdr:row>51</xdr:row>
      <xdr:rowOff>87086</xdr:rowOff>
    </xdr:to>
    <xdr:pic>
      <xdr:nvPicPr>
        <xdr:cNvPr id="10" name="Picture 1">
          <a:extLst>
            <a:ext uri="{FF2B5EF4-FFF2-40B4-BE49-F238E27FC236}">
              <a16:creationId xmlns:a16="http://schemas.microsoft.com/office/drawing/2014/main" id="{00000000-0008-0000-0000-00000A000000}"/>
            </a:ext>
            <a:ext uri="{147F2762-F138-4A5C-976F-8EAC2B608ADB}">
              <a16:predDERef xmlns:a16="http://schemas.microsoft.com/office/drawing/2014/main" pred="{00000000-0008-0000-0000-000004000000}"/>
            </a:ext>
          </a:extLst>
        </xdr:cNvPr>
        <xdr:cNvPicPr>
          <a:picLocks noChangeAspect="1"/>
        </xdr:cNvPicPr>
      </xdr:nvPicPr>
      <xdr:blipFill>
        <a:blip xmlns:r="http://schemas.openxmlformats.org/officeDocument/2006/relationships" r:embed="rId2"/>
        <a:stretch>
          <a:fillRect/>
        </a:stretch>
      </xdr:blipFill>
      <xdr:spPr>
        <a:xfrm>
          <a:off x="819150" y="6268811"/>
          <a:ext cx="10648950" cy="5280932"/>
        </a:xfrm>
        <a:prstGeom prst="rect">
          <a:avLst/>
        </a:prstGeom>
      </xdr:spPr>
    </xdr:pic>
    <xdr:clientData/>
  </xdr:twoCellAnchor>
  <xdr:twoCellAnchor>
    <xdr:from>
      <xdr:col>0</xdr:col>
      <xdr:colOff>0</xdr:colOff>
      <xdr:row>0</xdr:row>
      <xdr:rowOff>0</xdr:rowOff>
    </xdr:from>
    <xdr:to>
      <xdr:col>3</xdr:col>
      <xdr:colOff>4018916</xdr:colOff>
      <xdr:row>0</xdr:row>
      <xdr:rowOff>1190625</xdr:rowOff>
    </xdr:to>
    <xdr:grpSp>
      <xdr:nvGrpSpPr>
        <xdr:cNvPr id="13" name="Group 12">
          <a:extLst>
            <a:ext uri="{FF2B5EF4-FFF2-40B4-BE49-F238E27FC236}">
              <a16:creationId xmlns:a16="http://schemas.microsoft.com/office/drawing/2014/main" id="{00000000-0008-0000-0000-00000D000000}"/>
            </a:ext>
          </a:extLst>
        </xdr:cNvPr>
        <xdr:cNvGrpSpPr/>
      </xdr:nvGrpSpPr>
      <xdr:grpSpPr>
        <a:xfrm>
          <a:off x="0" y="0"/>
          <a:ext cx="11095991" cy="1190625"/>
          <a:chOff x="0" y="0"/>
          <a:chExt cx="12198986" cy="1190625"/>
        </a:xfrm>
      </xdr:grpSpPr>
      <xdr:sp macro="" textlink="">
        <xdr:nvSpPr>
          <xdr:cNvPr id="180" name="TextBox 179">
            <a:extLst>
              <a:ext uri="{FF2B5EF4-FFF2-40B4-BE49-F238E27FC236}">
                <a16:creationId xmlns:a16="http://schemas.microsoft.com/office/drawing/2014/main" id="{00000000-0008-0000-0000-0000B4000000}"/>
              </a:ext>
            </a:extLst>
          </xdr:cNvPr>
          <xdr:cNvSpPr txBox="1"/>
        </xdr:nvSpPr>
        <xdr:spPr>
          <a:xfrm>
            <a:off x="849027" y="17369"/>
            <a:ext cx="871625" cy="330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ABOUT</a:t>
            </a:r>
          </a:p>
        </xdr:txBody>
      </xdr:sp>
      <xdr:sp macro="" textlink="">
        <xdr:nvSpPr>
          <xdr:cNvPr id="181" name="TextBox 180">
            <a:extLst>
              <a:ext uri="{FF2B5EF4-FFF2-40B4-BE49-F238E27FC236}">
                <a16:creationId xmlns:a16="http://schemas.microsoft.com/office/drawing/2014/main" id="{00000000-0008-0000-0000-0000B5000000}"/>
              </a:ext>
            </a:extLst>
          </xdr:cNvPr>
          <xdr:cNvSpPr txBox="1"/>
        </xdr:nvSpPr>
        <xdr:spPr>
          <a:xfrm>
            <a:off x="4905072" y="0"/>
            <a:ext cx="1460728" cy="336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DASHBOARD</a:t>
            </a:r>
          </a:p>
        </xdr:txBody>
      </xdr:sp>
      <xdr:sp macro="" textlink="">
        <xdr:nvSpPr>
          <xdr:cNvPr id="182" name="TextBox 181">
            <a:extLst>
              <a:ext uri="{FF2B5EF4-FFF2-40B4-BE49-F238E27FC236}">
                <a16:creationId xmlns:a16="http://schemas.microsoft.com/office/drawing/2014/main" id="{00000000-0008-0000-0000-0000B6000000}"/>
              </a:ext>
            </a:extLst>
          </xdr:cNvPr>
          <xdr:cNvSpPr txBox="1"/>
        </xdr:nvSpPr>
        <xdr:spPr>
          <a:xfrm>
            <a:off x="7295787" y="9525"/>
            <a:ext cx="1640043" cy="336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CALCULATIONS</a:t>
            </a:r>
          </a:p>
        </xdr:txBody>
      </xdr:sp>
      <xdr:pic>
        <xdr:nvPicPr>
          <xdr:cNvPr id="183" name="Picture 182">
            <a:hlinkClick xmlns:r="http://schemas.openxmlformats.org/officeDocument/2006/relationships" r:id="rId3" tooltip="Education"/>
            <a:extLst>
              <a:ext uri="{FF2B5EF4-FFF2-40B4-BE49-F238E27FC236}">
                <a16:creationId xmlns:a16="http://schemas.microsoft.com/office/drawing/2014/main" id="{00000000-0008-0000-0000-0000B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61034" y="300037"/>
            <a:ext cx="781668" cy="762000"/>
          </a:xfrm>
          <a:prstGeom prst="rect">
            <a:avLst/>
          </a:prstGeom>
          <a:ln>
            <a:noFill/>
          </a:ln>
        </xdr:spPr>
      </xdr:pic>
      <xdr:pic>
        <xdr:nvPicPr>
          <xdr:cNvPr id="184" name="Picture 183">
            <a:hlinkClick xmlns:r="http://schemas.openxmlformats.org/officeDocument/2006/relationships" r:id="rId5" tooltip="Terms &amp; Conditions"/>
            <a:extLst>
              <a:ext uri="{FF2B5EF4-FFF2-40B4-BE49-F238E27FC236}">
                <a16:creationId xmlns:a16="http://schemas.microsoft.com/office/drawing/2014/main" id="{00000000-0008-0000-0000-0000B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275950" y="301561"/>
            <a:ext cx="779626" cy="758952"/>
          </a:xfrm>
          <a:prstGeom prst="rect">
            <a:avLst/>
          </a:prstGeom>
          <a:ln>
            <a:noFill/>
          </a:ln>
        </xdr:spPr>
      </xdr:pic>
      <xdr:pic>
        <xdr:nvPicPr>
          <xdr:cNvPr id="185" name="Picture 184">
            <a:hlinkClick xmlns:r="http://schemas.openxmlformats.org/officeDocument/2006/relationships" r:id="rId7" tooltip="User Guide"/>
            <a:extLst>
              <a:ext uri="{FF2B5EF4-FFF2-40B4-BE49-F238E27FC236}">
                <a16:creationId xmlns:a16="http://schemas.microsoft.com/office/drawing/2014/main" id="{00000000-0008-0000-0000-0000B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092593" y="301561"/>
            <a:ext cx="779626" cy="758952"/>
          </a:xfrm>
          <a:prstGeom prst="rect">
            <a:avLst/>
          </a:prstGeom>
        </xdr:spPr>
      </xdr:pic>
      <xdr:pic>
        <xdr:nvPicPr>
          <xdr:cNvPr id="186" name="Picture 185">
            <a:hlinkClick xmlns:r="http://schemas.openxmlformats.org/officeDocument/2006/relationships" r:id="rId9" tooltip="Dashboard"/>
            <a:extLst>
              <a:ext uri="{FF2B5EF4-FFF2-40B4-BE49-F238E27FC236}">
                <a16:creationId xmlns:a16="http://schemas.microsoft.com/office/drawing/2014/main" id="{00000000-0008-0000-0000-0000BA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924641" y="314325"/>
            <a:ext cx="779626" cy="758952"/>
          </a:xfrm>
          <a:prstGeom prst="rect">
            <a:avLst/>
          </a:prstGeom>
        </xdr:spPr>
      </xdr:pic>
      <xdr:pic>
        <xdr:nvPicPr>
          <xdr:cNvPr id="187" name="Picture 186">
            <a:hlinkClick xmlns:r="http://schemas.openxmlformats.org/officeDocument/2006/relationships" r:id="rId11" tooltip="Factors"/>
            <a:extLst>
              <a:ext uri="{FF2B5EF4-FFF2-40B4-BE49-F238E27FC236}">
                <a16:creationId xmlns:a16="http://schemas.microsoft.com/office/drawing/2014/main" id="{00000000-0008-0000-0000-0000BB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323820" y="314325"/>
            <a:ext cx="779626" cy="758952"/>
          </a:xfrm>
          <a:prstGeom prst="rect">
            <a:avLst/>
          </a:prstGeom>
        </xdr:spPr>
      </xdr:pic>
      <xdr:pic>
        <xdr:nvPicPr>
          <xdr:cNvPr id="188" name="Picture 187">
            <a:hlinkClick xmlns:r="http://schemas.openxmlformats.org/officeDocument/2006/relationships" r:id="rId13" tooltip="Alternative Calculations"/>
            <a:extLst>
              <a:ext uri="{FF2B5EF4-FFF2-40B4-BE49-F238E27FC236}">
                <a16:creationId xmlns:a16="http://schemas.microsoft.com/office/drawing/2014/main" id="{00000000-0008-0000-0000-0000BC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678045" y="314325"/>
            <a:ext cx="779626" cy="758952"/>
          </a:xfrm>
          <a:prstGeom prst="rect">
            <a:avLst/>
          </a:prstGeom>
        </xdr:spPr>
      </xdr:pic>
      <xdr:pic>
        <xdr:nvPicPr>
          <xdr:cNvPr id="189" name="Picture 188">
            <a:hlinkClick xmlns:r="http://schemas.openxmlformats.org/officeDocument/2006/relationships" r:id="rId15" tooltip="Abbreviations"/>
            <a:extLst>
              <a:ext uri="{FF2B5EF4-FFF2-40B4-BE49-F238E27FC236}">
                <a16:creationId xmlns:a16="http://schemas.microsoft.com/office/drawing/2014/main" id="{00000000-0008-0000-0000-0000BD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3909237" y="301561"/>
            <a:ext cx="783981" cy="758952"/>
          </a:xfrm>
          <a:prstGeom prst="rect">
            <a:avLst/>
          </a:prstGeom>
        </xdr:spPr>
      </xdr:pic>
      <xdr:pic>
        <xdr:nvPicPr>
          <xdr:cNvPr id="190" name="Picture 189">
            <a:hlinkClick xmlns:r="http://schemas.openxmlformats.org/officeDocument/2006/relationships" r:id="rId17" tooltip="Oil and Refined Products"/>
            <a:extLst>
              <a:ext uri="{FF2B5EF4-FFF2-40B4-BE49-F238E27FC236}">
                <a16:creationId xmlns:a16="http://schemas.microsoft.com/office/drawing/2014/main" id="{00000000-0008-0000-0000-0000BE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7256651" y="304800"/>
            <a:ext cx="779626" cy="758952"/>
          </a:xfrm>
          <a:prstGeom prst="rect">
            <a:avLst/>
          </a:prstGeom>
        </xdr:spPr>
      </xdr:pic>
      <xdr:sp macro="" textlink="">
        <xdr:nvSpPr>
          <xdr:cNvPr id="191" name="Rectangle: Rounded Corners 190">
            <a:extLst>
              <a:ext uri="{FF2B5EF4-FFF2-40B4-BE49-F238E27FC236}">
                <a16:creationId xmlns:a16="http://schemas.microsoft.com/office/drawing/2014/main" id="{00000000-0008-0000-0000-0000BF000000}"/>
              </a:ext>
            </a:extLst>
          </xdr:cNvPr>
          <xdr:cNvSpPr/>
        </xdr:nvSpPr>
        <xdr:spPr>
          <a:xfrm>
            <a:off x="831680" y="57150"/>
            <a:ext cx="3885100" cy="11334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sp macro="" textlink="">
        <xdr:nvSpPr>
          <xdr:cNvPr id="192" name="Rectangle: Rounded Corners 191">
            <a:extLst>
              <a:ext uri="{FF2B5EF4-FFF2-40B4-BE49-F238E27FC236}">
                <a16:creationId xmlns:a16="http://schemas.microsoft.com/office/drawing/2014/main" id="{00000000-0008-0000-0000-0000C0000000}"/>
              </a:ext>
            </a:extLst>
          </xdr:cNvPr>
          <xdr:cNvSpPr/>
        </xdr:nvSpPr>
        <xdr:spPr>
          <a:xfrm>
            <a:off x="7237082" y="47625"/>
            <a:ext cx="4881220" cy="11334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pic>
        <xdr:nvPicPr>
          <xdr:cNvPr id="193" name="Picture 192">
            <a:hlinkClick xmlns:r="http://schemas.openxmlformats.org/officeDocument/2006/relationships" r:id="rId19" tooltip="Home"/>
            <a:extLst>
              <a:ext uri="{FF2B5EF4-FFF2-40B4-BE49-F238E27FC236}">
                <a16:creationId xmlns:a16="http://schemas.microsoft.com/office/drawing/2014/main" id="{00000000-0008-0000-0000-0000C1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0" y="323850"/>
            <a:ext cx="779626" cy="758952"/>
          </a:xfrm>
          <a:prstGeom prst="rect">
            <a:avLst/>
          </a:prstGeom>
        </xdr:spPr>
      </xdr:pic>
      <xdr:grpSp>
        <xdr:nvGrpSpPr>
          <xdr:cNvPr id="12" name="Group 11">
            <a:extLst>
              <a:ext uri="{FF2B5EF4-FFF2-40B4-BE49-F238E27FC236}">
                <a16:creationId xmlns:a16="http://schemas.microsoft.com/office/drawing/2014/main" id="{00000000-0008-0000-0000-00000C000000}"/>
              </a:ext>
            </a:extLst>
          </xdr:cNvPr>
          <xdr:cNvGrpSpPr/>
        </xdr:nvGrpSpPr>
        <xdr:grpSpPr>
          <a:xfrm>
            <a:off x="8739731" y="304801"/>
            <a:ext cx="779626" cy="652742"/>
            <a:chOff x="8739731" y="304801"/>
            <a:chExt cx="779626" cy="652742"/>
          </a:xfrm>
        </xdr:grpSpPr>
        <xdr:pic>
          <xdr:nvPicPr>
            <xdr:cNvPr id="208" name="Picture 207">
              <a:hlinkClick xmlns:r="http://schemas.openxmlformats.org/officeDocument/2006/relationships" r:id="rId21" tooltip="Gas &amp; LNG"/>
              <a:extLst>
                <a:ext uri="{FF2B5EF4-FFF2-40B4-BE49-F238E27FC236}">
                  <a16:creationId xmlns:a16="http://schemas.microsoft.com/office/drawing/2014/main" id="{00000000-0008-0000-0000-0000D0000000}"/>
                </a:ext>
              </a:extLst>
            </xdr:cNvPr>
            <xdr:cNvPicPr>
              <a:picLocks noChangeAspect="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b="32893"/>
            <a:stretch/>
          </xdr:blipFill>
          <xdr:spPr>
            <a:xfrm>
              <a:off x="8739731" y="304801"/>
              <a:ext cx="779626" cy="509306"/>
            </a:xfrm>
            <a:prstGeom prst="rect">
              <a:avLst/>
            </a:prstGeom>
          </xdr:spPr>
        </xdr:pic>
        <xdr:sp macro="" textlink="">
          <xdr:nvSpPr>
            <xdr:cNvPr id="209" name="TextBox 208">
              <a:extLst>
                <a:ext uri="{FF2B5EF4-FFF2-40B4-BE49-F238E27FC236}">
                  <a16:creationId xmlns:a16="http://schemas.microsoft.com/office/drawing/2014/main" id="{00000000-0008-0000-0000-0000D1000000}"/>
                </a:ext>
              </a:extLst>
            </xdr:cNvPr>
            <xdr:cNvSpPr txBox="1"/>
          </xdr:nvSpPr>
          <xdr:spPr>
            <a:xfrm>
              <a:off x="8846184" y="769283"/>
              <a:ext cx="537883" cy="18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72 Black" panose="020B0A04030603020204" pitchFamily="34" charset="0"/>
                  <a:cs typeface="72 Black" panose="020B0A04030603020204" pitchFamily="34" charset="0"/>
                </a:rPr>
                <a:t>NGLs</a:t>
              </a:r>
            </a:p>
          </xdr:txBody>
        </xdr:sp>
      </xdr:grpSp>
      <xdr:grpSp>
        <xdr:nvGrpSpPr>
          <xdr:cNvPr id="195" name="Group 194">
            <a:hlinkClick xmlns:r="http://schemas.openxmlformats.org/officeDocument/2006/relationships" r:id="rId23"/>
            <a:extLst>
              <a:ext uri="{FF2B5EF4-FFF2-40B4-BE49-F238E27FC236}">
                <a16:creationId xmlns:a16="http://schemas.microsoft.com/office/drawing/2014/main" id="{00000000-0008-0000-0000-0000C3000000}"/>
              </a:ext>
            </a:extLst>
          </xdr:cNvPr>
          <xdr:cNvGrpSpPr/>
        </xdr:nvGrpSpPr>
        <xdr:grpSpPr>
          <a:xfrm>
            <a:off x="7963288" y="399140"/>
            <a:ext cx="936684" cy="558403"/>
            <a:chOff x="7252446" y="427715"/>
            <a:chExt cx="932330" cy="558403"/>
          </a:xfrm>
        </xdr:grpSpPr>
        <xdr:pic>
          <xdr:nvPicPr>
            <xdr:cNvPr id="206" name="Picture 205">
              <a:extLst>
                <a:ext uri="{FF2B5EF4-FFF2-40B4-BE49-F238E27FC236}">
                  <a16:creationId xmlns:a16="http://schemas.microsoft.com/office/drawing/2014/main" id="{00000000-0008-0000-0000-0000CE000000}"/>
                </a:ext>
                <a:ext uri="{147F2762-F138-4A5C-976F-8EAC2B608ADB}">
                  <a16:predDERef xmlns:a16="http://schemas.microsoft.com/office/drawing/2014/main" pred="{EF1B35E2-6469-5D85-6D58-31B6837836BF}"/>
                </a:ext>
              </a:extLst>
            </xdr:cNvPr>
            <xdr:cNvPicPr>
              <a:picLocks noChangeAspect="1"/>
            </xdr:cNvPicPr>
          </xdr:nvPicPr>
          <xdr:blipFill>
            <a:blip xmlns:r="http://schemas.openxmlformats.org/officeDocument/2006/relationships" r:embed="rId24"/>
            <a:stretch>
              <a:fillRect/>
            </a:stretch>
          </xdr:blipFill>
          <xdr:spPr>
            <a:xfrm>
              <a:off x="7404131" y="427715"/>
              <a:ext cx="582522" cy="453422"/>
            </a:xfrm>
            <a:prstGeom prst="rect">
              <a:avLst/>
            </a:prstGeom>
          </xdr:spPr>
        </xdr:pic>
        <xdr:sp macro="" textlink="">
          <xdr:nvSpPr>
            <xdr:cNvPr id="207" name="TextBox 206">
              <a:extLst>
                <a:ext uri="{FF2B5EF4-FFF2-40B4-BE49-F238E27FC236}">
                  <a16:creationId xmlns:a16="http://schemas.microsoft.com/office/drawing/2014/main" id="{00000000-0008-0000-0000-0000CF000000}"/>
                </a:ext>
              </a:extLst>
            </xdr:cNvPr>
            <xdr:cNvSpPr txBox="1"/>
          </xdr:nvSpPr>
          <xdr:spPr>
            <a:xfrm>
              <a:off x="7252446" y="815785"/>
              <a:ext cx="932330" cy="17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b="1">
                  <a:latin typeface="72 Black" panose="020B0A04030603020204" pitchFamily="34" charset="0"/>
                  <a:cs typeface="72 Black" panose="020B0A04030603020204" pitchFamily="34" charset="0"/>
                </a:rPr>
                <a:t>GAS</a:t>
              </a:r>
              <a:r>
                <a:rPr lang="en-US" sz="900" b="1" baseline="0">
                  <a:latin typeface="72 Black" panose="020B0A04030603020204" pitchFamily="34" charset="0"/>
                  <a:cs typeface="72 Black" panose="020B0A04030603020204" pitchFamily="34" charset="0"/>
                </a:rPr>
                <a:t> &amp; LNG</a:t>
              </a:r>
              <a:endParaRPr lang="en-US" sz="900" b="1">
                <a:latin typeface="72 Black" panose="020B0A04030603020204" pitchFamily="34" charset="0"/>
                <a:cs typeface="72 Black" panose="020B0A04030603020204" pitchFamily="34" charset="0"/>
              </a:endParaRPr>
            </a:p>
          </xdr:txBody>
        </xdr:sp>
      </xdr:grpSp>
      <xdr:grpSp>
        <xdr:nvGrpSpPr>
          <xdr:cNvPr id="196" name="Group 195">
            <a:hlinkClick xmlns:r="http://schemas.openxmlformats.org/officeDocument/2006/relationships" r:id="rId25"/>
            <a:extLst>
              <a:ext uri="{FF2B5EF4-FFF2-40B4-BE49-F238E27FC236}">
                <a16:creationId xmlns:a16="http://schemas.microsoft.com/office/drawing/2014/main" id="{00000000-0008-0000-0000-0000C4000000}"/>
              </a:ext>
            </a:extLst>
          </xdr:cNvPr>
          <xdr:cNvGrpSpPr/>
        </xdr:nvGrpSpPr>
        <xdr:grpSpPr>
          <a:xfrm>
            <a:off x="10117854" y="449143"/>
            <a:ext cx="952892" cy="517367"/>
            <a:chOff x="9402658" y="477718"/>
            <a:chExt cx="952892" cy="517367"/>
          </a:xfrm>
        </xdr:grpSpPr>
        <xdr:pic>
          <xdr:nvPicPr>
            <xdr:cNvPr id="204" name="Picture 203">
              <a:extLst>
                <a:ext uri="{FF2B5EF4-FFF2-40B4-BE49-F238E27FC236}">
                  <a16:creationId xmlns:a16="http://schemas.microsoft.com/office/drawing/2014/main" id="{00000000-0008-0000-0000-0000CC000000}"/>
                </a:ext>
              </a:extLst>
            </xdr:cNvPr>
            <xdr:cNvPicPr>
              <a:picLocks noChangeAspect="1"/>
            </xdr:cNvPicPr>
          </xdr:nvPicPr>
          <xdr:blipFill>
            <a:blip xmlns:r="http://schemas.openxmlformats.org/officeDocument/2006/relationships" r:embed="rId26"/>
            <a:stretch>
              <a:fillRect/>
            </a:stretch>
          </xdr:blipFill>
          <xdr:spPr>
            <a:xfrm>
              <a:off x="9525454" y="477718"/>
              <a:ext cx="679846" cy="340639"/>
            </a:xfrm>
            <a:prstGeom prst="rect">
              <a:avLst/>
            </a:prstGeom>
          </xdr:spPr>
        </xdr:pic>
        <xdr:sp macro="" textlink="">
          <xdr:nvSpPr>
            <xdr:cNvPr id="205" name="TextBox 204">
              <a:extLst>
                <a:ext uri="{FF2B5EF4-FFF2-40B4-BE49-F238E27FC236}">
                  <a16:creationId xmlns:a16="http://schemas.microsoft.com/office/drawing/2014/main" id="{00000000-0008-0000-0000-0000CD000000}"/>
                </a:ext>
              </a:extLst>
            </xdr:cNvPr>
            <xdr:cNvSpPr txBox="1"/>
          </xdr:nvSpPr>
          <xdr:spPr>
            <a:xfrm>
              <a:off x="9402658" y="806825"/>
              <a:ext cx="952892" cy="18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72 Black" panose="020B0A04030603020204" pitchFamily="34" charset="0"/>
                  <a:cs typeface="72 Black" panose="020B0A04030603020204" pitchFamily="34" charset="0"/>
                </a:rPr>
                <a:t>HYDROGEN</a:t>
              </a:r>
            </a:p>
          </xdr:txBody>
        </xdr:sp>
      </xdr:grpSp>
      <xdr:grpSp>
        <xdr:nvGrpSpPr>
          <xdr:cNvPr id="197" name="Group 196">
            <a:hlinkClick xmlns:r="http://schemas.openxmlformats.org/officeDocument/2006/relationships" r:id="rId27"/>
            <a:extLst>
              <a:ext uri="{FF2B5EF4-FFF2-40B4-BE49-F238E27FC236}">
                <a16:creationId xmlns:a16="http://schemas.microsoft.com/office/drawing/2014/main" id="{00000000-0008-0000-0000-0000C5000000}"/>
              </a:ext>
            </a:extLst>
          </xdr:cNvPr>
          <xdr:cNvGrpSpPr/>
        </xdr:nvGrpSpPr>
        <xdr:grpSpPr>
          <a:xfrm>
            <a:off x="9340366" y="249331"/>
            <a:ext cx="841559" cy="750794"/>
            <a:chOff x="8625170" y="277906"/>
            <a:chExt cx="841559" cy="750794"/>
          </a:xfrm>
        </xdr:grpSpPr>
        <xdr:pic>
          <xdr:nvPicPr>
            <xdr:cNvPr id="202" name="Picture 201">
              <a:extLst>
                <a:ext uri="{FF2B5EF4-FFF2-40B4-BE49-F238E27FC236}">
                  <a16:creationId xmlns:a16="http://schemas.microsoft.com/office/drawing/2014/main" id="{00000000-0008-0000-0000-0000CA000000}"/>
                </a:ext>
                <a:ext uri="{147F2762-F138-4A5C-976F-8EAC2B608ADB}">
                  <a16:predDERef xmlns:a16="http://schemas.microsoft.com/office/drawing/2014/main" pred="{C3724981-7622-998F-1DE2-D8A1EDB791C5}"/>
                </a:ext>
              </a:extLst>
            </xdr:cNvPr>
            <xdr:cNvPicPr>
              <a:picLocks noChangeAspect="1"/>
            </xdr:cNvPicPr>
          </xdr:nvPicPr>
          <xdr:blipFill>
            <a:blip xmlns:r="http://schemas.openxmlformats.org/officeDocument/2006/relationships" r:embed="rId28"/>
            <a:stretch>
              <a:fillRect/>
            </a:stretch>
          </xdr:blipFill>
          <xdr:spPr>
            <a:xfrm>
              <a:off x="8686800" y="277906"/>
              <a:ext cx="685800" cy="577215"/>
            </a:xfrm>
            <a:prstGeom prst="rect">
              <a:avLst/>
            </a:prstGeom>
          </xdr:spPr>
        </xdr:pic>
        <xdr:sp macro="" textlink="">
          <xdr:nvSpPr>
            <xdr:cNvPr id="203" name="TextBox 202">
              <a:extLst>
                <a:ext uri="{FF2B5EF4-FFF2-40B4-BE49-F238E27FC236}">
                  <a16:creationId xmlns:a16="http://schemas.microsoft.com/office/drawing/2014/main" id="{00000000-0008-0000-0000-0000CB000000}"/>
                </a:ext>
              </a:extLst>
            </xdr:cNvPr>
            <xdr:cNvSpPr txBox="1"/>
          </xdr:nvSpPr>
          <xdr:spPr>
            <a:xfrm>
              <a:off x="8625170" y="808505"/>
              <a:ext cx="841559" cy="220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72 Black" panose="020B0A04030603020204" pitchFamily="34" charset="0"/>
                  <a:cs typeface="72 Black" panose="020B0A04030603020204" pitchFamily="34" charset="0"/>
                </a:rPr>
                <a:t>BIOFUELS</a:t>
              </a:r>
            </a:p>
          </xdr:txBody>
        </xdr:sp>
      </xdr:grpSp>
      <xdr:grpSp>
        <xdr:nvGrpSpPr>
          <xdr:cNvPr id="198" name="Group 197">
            <a:hlinkClick xmlns:r="http://schemas.openxmlformats.org/officeDocument/2006/relationships" r:id="rId29"/>
            <a:extLst>
              <a:ext uri="{FF2B5EF4-FFF2-40B4-BE49-F238E27FC236}">
                <a16:creationId xmlns:a16="http://schemas.microsoft.com/office/drawing/2014/main" id="{00000000-0008-0000-0000-0000C6000000}"/>
              </a:ext>
            </a:extLst>
          </xdr:cNvPr>
          <xdr:cNvGrpSpPr/>
        </xdr:nvGrpSpPr>
        <xdr:grpSpPr>
          <a:xfrm>
            <a:off x="10773597" y="215530"/>
            <a:ext cx="1425389" cy="957239"/>
            <a:chOff x="10094261" y="244105"/>
            <a:chExt cx="1425389" cy="957239"/>
          </a:xfrm>
        </xdr:grpSpPr>
        <xdr:pic>
          <xdr:nvPicPr>
            <xdr:cNvPr id="200" name="Picture 199">
              <a:extLst>
                <a:ext uri="{FF2B5EF4-FFF2-40B4-BE49-F238E27FC236}">
                  <a16:creationId xmlns:a16="http://schemas.microsoft.com/office/drawing/2014/main" id="{00000000-0008-0000-0000-0000C8000000}"/>
                </a:ext>
                <a:ext uri="{147F2762-F138-4A5C-976F-8EAC2B608ADB}">
                  <a16:predDERef xmlns:a16="http://schemas.microsoft.com/office/drawing/2014/main" pred="{4BF98531-84AF-FD02-8989-724C2737A24A}"/>
                </a:ext>
              </a:extLst>
            </xdr:cNvPr>
            <xdr:cNvPicPr>
              <a:picLocks noChangeAspect="1"/>
            </xdr:cNvPicPr>
          </xdr:nvPicPr>
          <xdr:blipFill>
            <a:blip xmlns:r="http://schemas.openxmlformats.org/officeDocument/2006/relationships" r:embed="rId30"/>
            <a:stretch>
              <a:fillRect/>
            </a:stretch>
          </xdr:blipFill>
          <xdr:spPr>
            <a:xfrm>
              <a:off x="10548612" y="244105"/>
              <a:ext cx="458002" cy="608284"/>
            </a:xfrm>
            <a:prstGeom prst="rect">
              <a:avLst/>
            </a:prstGeom>
          </xdr:spPr>
        </xdr:pic>
        <xdr:sp macro="" textlink="">
          <xdr:nvSpPr>
            <xdr:cNvPr id="201" name="TextBox 200">
              <a:extLst>
                <a:ext uri="{FF2B5EF4-FFF2-40B4-BE49-F238E27FC236}">
                  <a16:creationId xmlns:a16="http://schemas.microsoft.com/office/drawing/2014/main" id="{00000000-0008-0000-0000-0000C9000000}"/>
                </a:ext>
              </a:extLst>
            </xdr:cNvPr>
            <xdr:cNvSpPr txBox="1"/>
          </xdr:nvSpPr>
          <xdr:spPr>
            <a:xfrm>
              <a:off x="10094261" y="797789"/>
              <a:ext cx="1425389" cy="403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72 Black" panose="020B0A04030603020204" pitchFamily="34" charset="0"/>
                  <a:cs typeface="72 Black" panose="020B0A04030603020204" pitchFamily="34" charset="0"/>
                </a:rPr>
                <a:t>LOWER</a:t>
              </a:r>
            </a:p>
            <a:p>
              <a:pPr algn="ctr"/>
              <a:r>
                <a:rPr lang="en-US" sz="1000" b="1" baseline="0">
                  <a:latin typeface="72 Black" panose="020B0A04030603020204" pitchFamily="34" charset="0"/>
                  <a:cs typeface="72 Black" panose="020B0A04030603020204" pitchFamily="34" charset="0"/>
                </a:rPr>
                <a:t> CARBON POWER</a:t>
              </a:r>
              <a:endParaRPr lang="en-US" sz="1000" b="1">
                <a:latin typeface="72 Black" panose="020B0A04030603020204" pitchFamily="34" charset="0"/>
                <a:cs typeface="72 Black" panose="020B0A04030603020204" pitchFamily="34" charset="0"/>
              </a:endParaRPr>
            </a:p>
          </xdr:txBody>
        </xdr:sp>
      </xdr:grpSp>
      <xdr:sp macro="" textlink="">
        <xdr:nvSpPr>
          <xdr:cNvPr id="199" name="Rectangle: Rounded Corners 198">
            <a:extLst>
              <a:ext uri="{FF2B5EF4-FFF2-40B4-BE49-F238E27FC236}">
                <a16:creationId xmlns:a16="http://schemas.microsoft.com/office/drawing/2014/main" id="{00000000-0008-0000-0000-0000C7000000}"/>
              </a:ext>
            </a:extLst>
          </xdr:cNvPr>
          <xdr:cNvSpPr/>
        </xdr:nvSpPr>
        <xdr:spPr>
          <a:xfrm>
            <a:off x="4868141" y="64241"/>
            <a:ext cx="2230848" cy="1115483"/>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grpSp>
        <xdr:nvGrpSpPr>
          <xdr:cNvPr id="5" name="Group 4">
            <a:hlinkClick xmlns:r="http://schemas.openxmlformats.org/officeDocument/2006/relationships" r:id="rId31"/>
            <a:extLst>
              <a:ext uri="{FF2B5EF4-FFF2-40B4-BE49-F238E27FC236}">
                <a16:creationId xmlns:a16="http://schemas.microsoft.com/office/drawing/2014/main" id="{00000000-0008-0000-0000-000005000000}"/>
              </a:ext>
            </a:extLst>
          </xdr:cNvPr>
          <xdr:cNvGrpSpPr/>
        </xdr:nvGrpSpPr>
        <xdr:grpSpPr>
          <a:xfrm>
            <a:off x="1717819" y="429577"/>
            <a:ext cx="521114" cy="502920"/>
            <a:chOff x="1714500" y="434340"/>
            <a:chExt cx="521114" cy="502920"/>
          </a:xfrm>
        </xdr:grpSpPr>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2"/>
            <a:stretch>
              <a:fillRect/>
            </a:stretch>
          </xdr:blipFill>
          <xdr:spPr>
            <a:xfrm>
              <a:off x="1739946" y="434340"/>
              <a:ext cx="495668" cy="367536"/>
            </a:xfrm>
            <a:prstGeom prst="rect">
              <a:avLst/>
            </a:prstGeom>
          </xdr:spPr>
        </xdr:pic>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714500" y="762000"/>
              <a:ext cx="510540" cy="175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b="1">
                  <a:latin typeface="72 Black" panose="020B0A04030603020204" pitchFamily="34" charset="0"/>
                  <a:cs typeface="72 Black" panose="020B0A04030603020204" pitchFamily="34" charset="0"/>
                </a:rPr>
                <a:t>FAQ</a:t>
              </a:r>
            </a:p>
          </xdr:txBody>
        </xdr:sp>
      </xdr:grpSp>
    </xdr:grpSp>
    <xdr:clientData/>
  </xdr:twoCellAnchor>
  <xdr:twoCellAnchor editAs="oneCell">
    <xdr:from>
      <xdr:col>4</xdr:col>
      <xdr:colOff>0</xdr:colOff>
      <xdr:row>3</xdr:row>
      <xdr:rowOff>0</xdr:rowOff>
    </xdr:from>
    <xdr:to>
      <xdr:col>4</xdr:col>
      <xdr:colOff>304800</xdr:colOff>
      <xdr:row>4</xdr:row>
      <xdr:rowOff>133350</xdr:rowOff>
    </xdr:to>
    <xdr:sp macro="" textlink="">
      <xdr:nvSpPr>
        <xdr:cNvPr id="33794" name="AutoShape 2" descr="logo">
          <a:extLst>
            <a:ext uri="{FF2B5EF4-FFF2-40B4-BE49-F238E27FC236}">
              <a16:creationId xmlns:a16="http://schemas.microsoft.com/office/drawing/2014/main" id="{00000000-0008-0000-0000-000002840000}"/>
            </a:ext>
          </a:extLst>
        </xdr:cNvPr>
        <xdr:cNvSpPr>
          <a:spLocks noChangeAspect="1" noChangeArrowheads="1"/>
        </xdr:cNvSpPr>
      </xdr:nvSpPr>
      <xdr:spPr bwMode="auto">
        <a:xfrm>
          <a:off x="11877675" y="1609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0</xdr:row>
      <xdr:rowOff>171450</xdr:rowOff>
    </xdr:from>
    <xdr:to>
      <xdr:col>4</xdr:col>
      <xdr:colOff>807720</xdr:colOff>
      <xdr:row>0</xdr:row>
      <xdr:rowOff>902970</xdr:rowOff>
    </xdr:to>
    <xdr:pic>
      <xdr:nvPicPr>
        <xdr:cNvPr id="16" name="Picture 15">
          <a:extLst>
            <a:ext uri="{FF2B5EF4-FFF2-40B4-BE49-F238E27FC236}">
              <a16:creationId xmlns:a16="http://schemas.microsoft.com/office/drawing/2014/main" id="{00000000-0008-0000-0000-000010000000}"/>
            </a:ext>
          </a:extLst>
        </xdr:cNvPr>
        <xdr:cNvPicPr>
          <a:picLocks/>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11953875" y="171450"/>
          <a:ext cx="731520" cy="7315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268941</xdr:colOff>
      <xdr:row>4</xdr:row>
      <xdr:rowOff>53788</xdr:rowOff>
    </xdr:from>
    <xdr:to>
      <xdr:col>17</xdr:col>
      <xdr:colOff>36112</xdr:colOff>
      <xdr:row>35</xdr:row>
      <xdr:rowOff>53088</xdr:rowOff>
    </xdr:to>
    <xdr:pic>
      <xdr:nvPicPr>
        <xdr:cNvPr id="59" name="Picture 7">
          <a:extLst>
            <a:ext uri="{FF2B5EF4-FFF2-40B4-BE49-F238E27FC236}">
              <a16:creationId xmlns:a16="http://schemas.microsoft.com/office/drawing/2014/main" id="{00000000-0008-0000-0100-00003B000000}"/>
            </a:ext>
            <a:ext uri="{147F2762-F138-4A5C-976F-8EAC2B608ADB}">
              <a16:predDERef xmlns:a16="http://schemas.microsoft.com/office/drawing/2014/main" pred="{00000000-0008-0000-0100-000066000000}"/>
            </a:ext>
          </a:extLst>
        </xdr:cNvPr>
        <xdr:cNvPicPr>
          <a:picLocks noChangeAspect="1"/>
        </xdr:cNvPicPr>
      </xdr:nvPicPr>
      <xdr:blipFill>
        <a:blip xmlns:r="http://schemas.openxmlformats.org/officeDocument/2006/relationships" r:embed="rId1"/>
        <a:stretch>
          <a:fillRect/>
        </a:stretch>
      </xdr:blipFill>
      <xdr:spPr>
        <a:xfrm>
          <a:off x="2178423" y="2725270"/>
          <a:ext cx="8428571" cy="5609525"/>
        </a:xfrm>
        <a:prstGeom prst="rect">
          <a:avLst/>
        </a:prstGeom>
      </xdr:spPr>
    </xdr:pic>
    <xdr:clientData/>
  </xdr:twoCellAnchor>
  <xdr:twoCellAnchor editAs="oneCell">
    <xdr:from>
      <xdr:col>3</xdr:col>
      <xdr:colOff>501416</xdr:colOff>
      <xdr:row>4</xdr:row>
      <xdr:rowOff>92534</xdr:rowOff>
    </xdr:from>
    <xdr:to>
      <xdr:col>16</xdr:col>
      <xdr:colOff>573682</xdr:colOff>
      <xdr:row>37</xdr:row>
      <xdr:rowOff>597</xdr:rowOff>
    </xdr:to>
    <xdr:pic>
      <xdr:nvPicPr>
        <xdr:cNvPr id="63" name="Picture 7">
          <a:extLst>
            <a:ext uri="{FF2B5EF4-FFF2-40B4-BE49-F238E27FC236}">
              <a16:creationId xmlns:a16="http://schemas.microsoft.com/office/drawing/2014/main" id="{00000000-0008-0000-0100-00003F000000}"/>
            </a:ext>
            <a:ext uri="{147F2762-F138-4A5C-976F-8EAC2B608ADB}">
              <a16:predDERef xmlns:a16="http://schemas.microsoft.com/office/drawing/2014/main" pred="{00000000-0008-0000-0100-00003B000000}"/>
            </a:ext>
          </a:extLst>
        </xdr:cNvPr>
        <xdr:cNvPicPr>
          <a:picLocks noChangeAspect="1"/>
        </xdr:cNvPicPr>
      </xdr:nvPicPr>
      <xdr:blipFill>
        <a:blip xmlns:r="http://schemas.openxmlformats.org/officeDocument/2006/relationships" r:embed="rId1"/>
        <a:stretch>
          <a:fillRect/>
        </a:stretch>
      </xdr:blipFill>
      <xdr:spPr>
        <a:xfrm>
          <a:off x="2438704" y="2765992"/>
          <a:ext cx="8549062" cy="5656627"/>
        </a:xfrm>
        <a:prstGeom prst="rect">
          <a:avLst/>
        </a:prstGeom>
      </xdr:spPr>
    </xdr:pic>
    <xdr:clientData/>
  </xdr:twoCellAnchor>
  <xdr:twoCellAnchor editAs="oneCell">
    <xdr:from>
      <xdr:col>4</xdr:col>
      <xdr:colOff>440871</xdr:colOff>
      <xdr:row>36</xdr:row>
      <xdr:rowOff>166008</xdr:rowOff>
    </xdr:from>
    <xdr:to>
      <xdr:col>17</xdr:col>
      <xdr:colOff>324666</xdr:colOff>
      <xdr:row>64</xdr:row>
      <xdr:rowOff>40278</xdr:rowOff>
    </xdr:to>
    <xdr:pic>
      <xdr:nvPicPr>
        <xdr:cNvPr id="42" name="Picture 24">
          <a:extLst>
            <a:ext uri="{FF2B5EF4-FFF2-40B4-BE49-F238E27FC236}">
              <a16:creationId xmlns:a16="http://schemas.microsoft.com/office/drawing/2014/main" id="{00000000-0008-0000-0100-00002A000000}"/>
            </a:ext>
            <a:ext uri="{147F2762-F138-4A5C-976F-8EAC2B608ADB}">
              <a16:predDERef xmlns:a16="http://schemas.microsoft.com/office/drawing/2014/main" pred="{00000000-0008-0000-0100-000002000000}"/>
            </a:ext>
          </a:extLst>
        </xdr:cNvPr>
        <xdr:cNvPicPr>
          <a:picLocks noChangeAspect="1"/>
        </xdr:cNvPicPr>
      </xdr:nvPicPr>
      <xdr:blipFill>
        <a:blip xmlns:r="http://schemas.openxmlformats.org/officeDocument/2006/relationships" r:embed="rId2"/>
        <a:stretch>
          <a:fillRect/>
        </a:stretch>
      </xdr:blipFill>
      <xdr:spPr>
        <a:xfrm>
          <a:off x="2890157" y="8520794"/>
          <a:ext cx="7843973" cy="4827270"/>
        </a:xfrm>
        <a:prstGeom prst="rect">
          <a:avLst/>
        </a:prstGeom>
      </xdr:spPr>
    </xdr:pic>
    <xdr:clientData/>
  </xdr:twoCellAnchor>
  <xdr:twoCellAnchor>
    <xdr:from>
      <xdr:col>0</xdr:col>
      <xdr:colOff>0</xdr:colOff>
      <xdr:row>0</xdr:row>
      <xdr:rowOff>0</xdr:rowOff>
    </xdr:from>
    <xdr:to>
      <xdr:col>19</xdr:col>
      <xdr:colOff>402137</xdr:colOff>
      <xdr:row>0</xdr:row>
      <xdr:rowOff>1190625</xdr:rowOff>
    </xdr:to>
    <xdr:grpSp>
      <xdr:nvGrpSpPr>
        <xdr:cNvPr id="72" name="Group 71">
          <a:extLst>
            <a:ext uri="{FF2B5EF4-FFF2-40B4-BE49-F238E27FC236}">
              <a16:creationId xmlns:a16="http://schemas.microsoft.com/office/drawing/2014/main" id="{00000000-0008-0000-0100-000048000000}"/>
            </a:ext>
          </a:extLst>
        </xdr:cNvPr>
        <xdr:cNvGrpSpPr/>
      </xdr:nvGrpSpPr>
      <xdr:grpSpPr>
        <a:xfrm>
          <a:off x="0" y="0"/>
          <a:ext cx="11899372" cy="1190625"/>
          <a:chOff x="0" y="0"/>
          <a:chExt cx="12198986" cy="1190625"/>
        </a:xfrm>
      </xdr:grpSpPr>
      <xdr:sp macro="" textlink="">
        <xdr:nvSpPr>
          <xdr:cNvPr id="73" name="TextBox 72">
            <a:extLst>
              <a:ext uri="{FF2B5EF4-FFF2-40B4-BE49-F238E27FC236}">
                <a16:creationId xmlns:a16="http://schemas.microsoft.com/office/drawing/2014/main" id="{00000000-0008-0000-0100-000049000000}"/>
              </a:ext>
            </a:extLst>
          </xdr:cNvPr>
          <xdr:cNvSpPr txBox="1"/>
        </xdr:nvSpPr>
        <xdr:spPr>
          <a:xfrm>
            <a:off x="849027" y="17369"/>
            <a:ext cx="871625" cy="330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ABOUT</a:t>
            </a:r>
          </a:p>
        </xdr:txBody>
      </xdr:sp>
      <xdr:sp macro="" textlink="">
        <xdr:nvSpPr>
          <xdr:cNvPr id="74" name="TextBox 73">
            <a:extLst>
              <a:ext uri="{FF2B5EF4-FFF2-40B4-BE49-F238E27FC236}">
                <a16:creationId xmlns:a16="http://schemas.microsoft.com/office/drawing/2014/main" id="{00000000-0008-0000-0100-00004A000000}"/>
              </a:ext>
            </a:extLst>
          </xdr:cNvPr>
          <xdr:cNvSpPr txBox="1"/>
        </xdr:nvSpPr>
        <xdr:spPr>
          <a:xfrm>
            <a:off x="4905072" y="0"/>
            <a:ext cx="1460728" cy="336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DASHBOARD</a:t>
            </a:r>
          </a:p>
        </xdr:txBody>
      </xdr:sp>
      <xdr:sp macro="" textlink="">
        <xdr:nvSpPr>
          <xdr:cNvPr id="75" name="TextBox 74">
            <a:extLst>
              <a:ext uri="{FF2B5EF4-FFF2-40B4-BE49-F238E27FC236}">
                <a16:creationId xmlns:a16="http://schemas.microsoft.com/office/drawing/2014/main" id="{00000000-0008-0000-0100-00004B000000}"/>
              </a:ext>
            </a:extLst>
          </xdr:cNvPr>
          <xdr:cNvSpPr txBox="1"/>
        </xdr:nvSpPr>
        <xdr:spPr>
          <a:xfrm>
            <a:off x="7295787" y="9525"/>
            <a:ext cx="1640043" cy="336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CALCULATIONS</a:t>
            </a:r>
          </a:p>
        </xdr:txBody>
      </xdr:sp>
      <xdr:pic>
        <xdr:nvPicPr>
          <xdr:cNvPr id="76" name="Picture 75">
            <a:hlinkClick xmlns:r="http://schemas.openxmlformats.org/officeDocument/2006/relationships" r:id="rId3" tooltip="Education"/>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61034" y="300037"/>
            <a:ext cx="781668" cy="762000"/>
          </a:xfrm>
          <a:prstGeom prst="rect">
            <a:avLst/>
          </a:prstGeom>
          <a:ln>
            <a:noFill/>
          </a:ln>
        </xdr:spPr>
      </xdr:pic>
      <xdr:pic>
        <xdr:nvPicPr>
          <xdr:cNvPr id="77" name="Picture 76">
            <a:hlinkClick xmlns:r="http://schemas.openxmlformats.org/officeDocument/2006/relationships" r:id="rId5" tooltip="Terms &amp; Conditions"/>
            <a:extLst>
              <a:ext uri="{FF2B5EF4-FFF2-40B4-BE49-F238E27FC236}">
                <a16:creationId xmlns:a16="http://schemas.microsoft.com/office/drawing/2014/main" id="{00000000-0008-0000-0100-00004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275950" y="301561"/>
            <a:ext cx="779626" cy="758952"/>
          </a:xfrm>
          <a:prstGeom prst="rect">
            <a:avLst/>
          </a:prstGeom>
          <a:ln>
            <a:noFill/>
          </a:ln>
        </xdr:spPr>
      </xdr:pic>
      <xdr:pic>
        <xdr:nvPicPr>
          <xdr:cNvPr id="78" name="Picture 77">
            <a:hlinkClick xmlns:r="http://schemas.openxmlformats.org/officeDocument/2006/relationships" r:id="rId7" tooltip="User Guide"/>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092593" y="301561"/>
            <a:ext cx="779626" cy="758952"/>
          </a:xfrm>
          <a:prstGeom prst="rect">
            <a:avLst/>
          </a:prstGeom>
        </xdr:spPr>
      </xdr:pic>
      <xdr:pic>
        <xdr:nvPicPr>
          <xdr:cNvPr id="79" name="Picture 78">
            <a:hlinkClick xmlns:r="http://schemas.openxmlformats.org/officeDocument/2006/relationships" r:id="rId9" tooltip="Dashboard"/>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924641" y="314325"/>
            <a:ext cx="779626" cy="758952"/>
          </a:xfrm>
          <a:prstGeom prst="rect">
            <a:avLst/>
          </a:prstGeom>
        </xdr:spPr>
      </xdr:pic>
      <xdr:pic>
        <xdr:nvPicPr>
          <xdr:cNvPr id="80" name="Picture 79">
            <a:hlinkClick xmlns:r="http://schemas.openxmlformats.org/officeDocument/2006/relationships" r:id="rId11" tooltip="Factors"/>
            <a:extLst>
              <a:ext uri="{FF2B5EF4-FFF2-40B4-BE49-F238E27FC236}">
                <a16:creationId xmlns:a16="http://schemas.microsoft.com/office/drawing/2014/main" id="{00000000-0008-0000-0100-00005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323820" y="314325"/>
            <a:ext cx="779626" cy="758952"/>
          </a:xfrm>
          <a:prstGeom prst="rect">
            <a:avLst/>
          </a:prstGeom>
        </xdr:spPr>
      </xdr:pic>
      <xdr:pic>
        <xdr:nvPicPr>
          <xdr:cNvPr id="81" name="Picture 80">
            <a:hlinkClick xmlns:r="http://schemas.openxmlformats.org/officeDocument/2006/relationships" r:id="rId13" tooltip="Alternative Calculations"/>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678045" y="314325"/>
            <a:ext cx="779626" cy="758952"/>
          </a:xfrm>
          <a:prstGeom prst="rect">
            <a:avLst/>
          </a:prstGeom>
        </xdr:spPr>
      </xdr:pic>
      <xdr:pic>
        <xdr:nvPicPr>
          <xdr:cNvPr id="82" name="Picture 81">
            <a:hlinkClick xmlns:r="http://schemas.openxmlformats.org/officeDocument/2006/relationships" r:id="rId15" tooltip="Abbreviations"/>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3909237" y="301561"/>
            <a:ext cx="783981" cy="758952"/>
          </a:xfrm>
          <a:prstGeom prst="rect">
            <a:avLst/>
          </a:prstGeom>
        </xdr:spPr>
      </xdr:pic>
      <xdr:pic>
        <xdr:nvPicPr>
          <xdr:cNvPr id="83" name="Picture 82">
            <a:hlinkClick xmlns:r="http://schemas.openxmlformats.org/officeDocument/2006/relationships" r:id="rId17" tooltip="Oil and Refined Products"/>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7256651" y="304800"/>
            <a:ext cx="779626" cy="758952"/>
          </a:xfrm>
          <a:prstGeom prst="rect">
            <a:avLst/>
          </a:prstGeom>
        </xdr:spPr>
      </xdr:pic>
      <xdr:sp macro="" textlink="">
        <xdr:nvSpPr>
          <xdr:cNvPr id="84" name="Rectangle: Rounded Corners 83">
            <a:extLst>
              <a:ext uri="{FF2B5EF4-FFF2-40B4-BE49-F238E27FC236}">
                <a16:creationId xmlns:a16="http://schemas.microsoft.com/office/drawing/2014/main" id="{00000000-0008-0000-0100-000054000000}"/>
              </a:ext>
            </a:extLst>
          </xdr:cNvPr>
          <xdr:cNvSpPr/>
        </xdr:nvSpPr>
        <xdr:spPr>
          <a:xfrm>
            <a:off x="831680" y="57150"/>
            <a:ext cx="3885100" cy="11334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sp macro="" textlink="">
        <xdr:nvSpPr>
          <xdr:cNvPr id="85" name="Rectangle: Rounded Corners 84">
            <a:extLst>
              <a:ext uri="{FF2B5EF4-FFF2-40B4-BE49-F238E27FC236}">
                <a16:creationId xmlns:a16="http://schemas.microsoft.com/office/drawing/2014/main" id="{00000000-0008-0000-0100-000055000000}"/>
              </a:ext>
            </a:extLst>
          </xdr:cNvPr>
          <xdr:cNvSpPr/>
        </xdr:nvSpPr>
        <xdr:spPr>
          <a:xfrm>
            <a:off x="7237082" y="47625"/>
            <a:ext cx="4881220" cy="11334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pic>
        <xdr:nvPicPr>
          <xdr:cNvPr id="86" name="Picture 85">
            <a:hlinkClick xmlns:r="http://schemas.openxmlformats.org/officeDocument/2006/relationships" r:id="rId19" tooltip="Home"/>
            <a:extLst>
              <a:ext uri="{FF2B5EF4-FFF2-40B4-BE49-F238E27FC236}">
                <a16:creationId xmlns:a16="http://schemas.microsoft.com/office/drawing/2014/main" id="{00000000-0008-0000-0100-000056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0" y="323850"/>
            <a:ext cx="779626" cy="758952"/>
          </a:xfrm>
          <a:prstGeom prst="rect">
            <a:avLst/>
          </a:prstGeom>
        </xdr:spPr>
      </xdr:pic>
      <xdr:grpSp>
        <xdr:nvGrpSpPr>
          <xdr:cNvPr id="87" name="Group 86">
            <a:extLst>
              <a:ext uri="{FF2B5EF4-FFF2-40B4-BE49-F238E27FC236}">
                <a16:creationId xmlns:a16="http://schemas.microsoft.com/office/drawing/2014/main" id="{00000000-0008-0000-0100-000057000000}"/>
              </a:ext>
            </a:extLst>
          </xdr:cNvPr>
          <xdr:cNvGrpSpPr/>
        </xdr:nvGrpSpPr>
        <xdr:grpSpPr>
          <a:xfrm>
            <a:off x="8739731" y="304801"/>
            <a:ext cx="779626" cy="652742"/>
            <a:chOff x="8739731" y="304801"/>
            <a:chExt cx="779626" cy="652742"/>
          </a:xfrm>
        </xdr:grpSpPr>
        <xdr:pic>
          <xdr:nvPicPr>
            <xdr:cNvPr id="104" name="Picture 103">
              <a:hlinkClick xmlns:r="http://schemas.openxmlformats.org/officeDocument/2006/relationships" r:id="rId21" tooltip="Gas &amp; LNG"/>
              <a:extLst>
                <a:ext uri="{FF2B5EF4-FFF2-40B4-BE49-F238E27FC236}">
                  <a16:creationId xmlns:a16="http://schemas.microsoft.com/office/drawing/2014/main" id="{00000000-0008-0000-0100-000068000000}"/>
                </a:ext>
              </a:extLst>
            </xdr:cNvPr>
            <xdr:cNvPicPr>
              <a:picLocks noChangeAspect="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b="32893"/>
            <a:stretch/>
          </xdr:blipFill>
          <xdr:spPr>
            <a:xfrm>
              <a:off x="8739731" y="304801"/>
              <a:ext cx="779626" cy="509306"/>
            </a:xfrm>
            <a:prstGeom prst="rect">
              <a:avLst/>
            </a:prstGeom>
          </xdr:spPr>
        </xdr:pic>
        <xdr:sp macro="" textlink="">
          <xdr:nvSpPr>
            <xdr:cNvPr id="105" name="TextBox 104">
              <a:extLst>
                <a:ext uri="{FF2B5EF4-FFF2-40B4-BE49-F238E27FC236}">
                  <a16:creationId xmlns:a16="http://schemas.microsoft.com/office/drawing/2014/main" id="{00000000-0008-0000-0100-000069000000}"/>
                </a:ext>
              </a:extLst>
            </xdr:cNvPr>
            <xdr:cNvSpPr txBox="1"/>
          </xdr:nvSpPr>
          <xdr:spPr>
            <a:xfrm>
              <a:off x="8846184" y="769283"/>
              <a:ext cx="537883" cy="18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NGLs</a:t>
              </a:r>
            </a:p>
          </xdr:txBody>
        </xdr:sp>
      </xdr:grpSp>
      <xdr:grpSp>
        <xdr:nvGrpSpPr>
          <xdr:cNvPr id="88" name="Group 87">
            <a:hlinkClick xmlns:r="http://schemas.openxmlformats.org/officeDocument/2006/relationships" r:id="rId23"/>
            <a:extLst>
              <a:ext uri="{FF2B5EF4-FFF2-40B4-BE49-F238E27FC236}">
                <a16:creationId xmlns:a16="http://schemas.microsoft.com/office/drawing/2014/main" id="{00000000-0008-0000-0100-000058000000}"/>
              </a:ext>
            </a:extLst>
          </xdr:cNvPr>
          <xdr:cNvGrpSpPr/>
        </xdr:nvGrpSpPr>
        <xdr:grpSpPr>
          <a:xfrm>
            <a:off x="7963288" y="399140"/>
            <a:ext cx="936684" cy="558403"/>
            <a:chOff x="7252446" y="427715"/>
            <a:chExt cx="932330" cy="558403"/>
          </a:xfrm>
        </xdr:grpSpPr>
        <xdr:pic>
          <xdr:nvPicPr>
            <xdr:cNvPr id="102" name="Picture 101">
              <a:extLst>
                <a:ext uri="{FF2B5EF4-FFF2-40B4-BE49-F238E27FC236}">
                  <a16:creationId xmlns:a16="http://schemas.microsoft.com/office/drawing/2014/main" id="{00000000-0008-0000-0100-000066000000}"/>
                </a:ext>
                <a:ext uri="{147F2762-F138-4A5C-976F-8EAC2B608ADB}">
                  <a16:predDERef xmlns:a16="http://schemas.microsoft.com/office/drawing/2014/main" pred="{EF1B35E2-6469-5D85-6D58-31B6837836BF}"/>
                </a:ext>
              </a:extLst>
            </xdr:cNvPr>
            <xdr:cNvPicPr>
              <a:picLocks noChangeAspect="1"/>
            </xdr:cNvPicPr>
          </xdr:nvPicPr>
          <xdr:blipFill>
            <a:blip xmlns:r="http://schemas.openxmlformats.org/officeDocument/2006/relationships" r:embed="rId24"/>
            <a:stretch>
              <a:fillRect/>
            </a:stretch>
          </xdr:blipFill>
          <xdr:spPr>
            <a:xfrm>
              <a:off x="7404131" y="427715"/>
              <a:ext cx="582522" cy="453422"/>
            </a:xfrm>
            <a:prstGeom prst="rect">
              <a:avLst/>
            </a:prstGeom>
          </xdr:spPr>
        </xdr:pic>
        <xdr:sp macro="" textlink="">
          <xdr:nvSpPr>
            <xdr:cNvPr id="103" name="TextBox 102">
              <a:extLst>
                <a:ext uri="{FF2B5EF4-FFF2-40B4-BE49-F238E27FC236}">
                  <a16:creationId xmlns:a16="http://schemas.microsoft.com/office/drawing/2014/main" id="{00000000-0008-0000-0100-000067000000}"/>
                </a:ext>
              </a:extLst>
            </xdr:cNvPr>
            <xdr:cNvSpPr txBox="1"/>
          </xdr:nvSpPr>
          <xdr:spPr>
            <a:xfrm>
              <a:off x="7252446" y="815785"/>
              <a:ext cx="932330" cy="17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b="0">
                  <a:latin typeface="72 Black" panose="020B0A04030603020204" pitchFamily="34" charset="0"/>
                  <a:cs typeface="72 Black" panose="020B0A04030603020204" pitchFamily="34" charset="0"/>
                </a:rPr>
                <a:t>GAS</a:t>
              </a:r>
              <a:r>
                <a:rPr lang="en-US" sz="900" b="0" baseline="0">
                  <a:latin typeface="72 Black" panose="020B0A04030603020204" pitchFamily="34" charset="0"/>
                  <a:cs typeface="72 Black" panose="020B0A04030603020204" pitchFamily="34" charset="0"/>
                </a:rPr>
                <a:t> &amp; LNG</a:t>
              </a:r>
              <a:endParaRPr lang="en-US" sz="900" b="0">
                <a:latin typeface="72 Black" panose="020B0A04030603020204" pitchFamily="34" charset="0"/>
                <a:cs typeface="72 Black" panose="020B0A04030603020204" pitchFamily="34" charset="0"/>
              </a:endParaRPr>
            </a:p>
          </xdr:txBody>
        </xdr:sp>
      </xdr:grpSp>
      <xdr:grpSp>
        <xdr:nvGrpSpPr>
          <xdr:cNvPr id="89" name="Group 88">
            <a:hlinkClick xmlns:r="http://schemas.openxmlformats.org/officeDocument/2006/relationships" r:id="rId25"/>
            <a:extLst>
              <a:ext uri="{FF2B5EF4-FFF2-40B4-BE49-F238E27FC236}">
                <a16:creationId xmlns:a16="http://schemas.microsoft.com/office/drawing/2014/main" id="{00000000-0008-0000-0100-000059000000}"/>
              </a:ext>
            </a:extLst>
          </xdr:cNvPr>
          <xdr:cNvGrpSpPr/>
        </xdr:nvGrpSpPr>
        <xdr:grpSpPr>
          <a:xfrm>
            <a:off x="10117854" y="449143"/>
            <a:ext cx="952892" cy="517367"/>
            <a:chOff x="9402658" y="477718"/>
            <a:chExt cx="952892" cy="517367"/>
          </a:xfrm>
        </xdr:grpSpPr>
        <xdr:pic>
          <xdr:nvPicPr>
            <xdr:cNvPr id="100" name="Picture 99">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26"/>
            <a:stretch>
              <a:fillRect/>
            </a:stretch>
          </xdr:blipFill>
          <xdr:spPr>
            <a:xfrm>
              <a:off x="9525454" y="477718"/>
              <a:ext cx="679846" cy="340639"/>
            </a:xfrm>
            <a:prstGeom prst="rect">
              <a:avLst/>
            </a:prstGeom>
          </xdr:spPr>
        </xdr:pic>
        <xdr:sp macro="" textlink="">
          <xdr:nvSpPr>
            <xdr:cNvPr id="101" name="TextBox 100">
              <a:extLst>
                <a:ext uri="{FF2B5EF4-FFF2-40B4-BE49-F238E27FC236}">
                  <a16:creationId xmlns:a16="http://schemas.microsoft.com/office/drawing/2014/main" id="{00000000-0008-0000-0100-000065000000}"/>
                </a:ext>
              </a:extLst>
            </xdr:cNvPr>
            <xdr:cNvSpPr txBox="1"/>
          </xdr:nvSpPr>
          <xdr:spPr>
            <a:xfrm>
              <a:off x="9402658" y="806825"/>
              <a:ext cx="952892" cy="18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HYDROGEN</a:t>
              </a:r>
            </a:p>
          </xdr:txBody>
        </xdr:sp>
      </xdr:grpSp>
      <xdr:grpSp>
        <xdr:nvGrpSpPr>
          <xdr:cNvPr id="90" name="Group 89">
            <a:hlinkClick xmlns:r="http://schemas.openxmlformats.org/officeDocument/2006/relationships" r:id="rId27"/>
            <a:extLst>
              <a:ext uri="{FF2B5EF4-FFF2-40B4-BE49-F238E27FC236}">
                <a16:creationId xmlns:a16="http://schemas.microsoft.com/office/drawing/2014/main" id="{00000000-0008-0000-0100-00005A000000}"/>
              </a:ext>
            </a:extLst>
          </xdr:cNvPr>
          <xdr:cNvGrpSpPr/>
        </xdr:nvGrpSpPr>
        <xdr:grpSpPr>
          <a:xfrm>
            <a:off x="9340366" y="249331"/>
            <a:ext cx="841559" cy="690282"/>
            <a:chOff x="8625170" y="277906"/>
            <a:chExt cx="841559" cy="690282"/>
          </a:xfrm>
        </xdr:grpSpPr>
        <xdr:pic>
          <xdr:nvPicPr>
            <xdr:cNvPr id="98" name="Picture 97">
              <a:extLst>
                <a:ext uri="{FF2B5EF4-FFF2-40B4-BE49-F238E27FC236}">
                  <a16:creationId xmlns:a16="http://schemas.microsoft.com/office/drawing/2014/main" id="{00000000-0008-0000-0100-000062000000}"/>
                </a:ext>
                <a:ext uri="{147F2762-F138-4A5C-976F-8EAC2B608ADB}">
                  <a16:predDERef xmlns:a16="http://schemas.microsoft.com/office/drawing/2014/main" pred="{C3724981-7622-998F-1DE2-D8A1EDB791C5}"/>
                </a:ext>
              </a:extLst>
            </xdr:cNvPr>
            <xdr:cNvPicPr>
              <a:picLocks noChangeAspect="1"/>
            </xdr:cNvPicPr>
          </xdr:nvPicPr>
          <xdr:blipFill>
            <a:blip xmlns:r="http://schemas.openxmlformats.org/officeDocument/2006/relationships" r:embed="rId28"/>
            <a:stretch>
              <a:fillRect/>
            </a:stretch>
          </xdr:blipFill>
          <xdr:spPr>
            <a:xfrm>
              <a:off x="8686800" y="277906"/>
              <a:ext cx="685800" cy="577215"/>
            </a:xfrm>
            <a:prstGeom prst="rect">
              <a:avLst/>
            </a:prstGeom>
          </xdr:spPr>
        </xdr:pic>
        <xdr:sp macro="" textlink="">
          <xdr:nvSpPr>
            <xdr:cNvPr id="99" name="TextBox 98">
              <a:extLst>
                <a:ext uri="{FF2B5EF4-FFF2-40B4-BE49-F238E27FC236}">
                  <a16:creationId xmlns:a16="http://schemas.microsoft.com/office/drawing/2014/main" id="{00000000-0008-0000-0100-000063000000}"/>
                </a:ext>
              </a:extLst>
            </xdr:cNvPr>
            <xdr:cNvSpPr txBox="1"/>
          </xdr:nvSpPr>
          <xdr:spPr>
            <a:xfrm>
              <a:off x="8625170" y="808505"/>
              <a:ext cx="841559"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BIOFUELS</a:t>
              </a:r>
            </a:p>
          </xdr:txBody>
        </xdr:sp>
      </xdr:grpSp>
      <xdr:grpSp>
        <xdr:nvGrpSpPr>
          <xdr:cNvPr id="91" name="Group 90">
            <a:hlinkClick xmlns:r="http://schemas.openxmlformats.org/officeDocument/2006/relationships" r:id="rId29"/>
            <a:extLst>
              <a:ext uri="{FF2B5EF4-FFF2-40B4-BE49-F238E27FC236}">
                <a16:creationId xmlns:a16="http://schemas.microsoft.com/office/drawing/2014/main" id="{00000000-0008-0000-0100-00005B000000}"/>
              </a:ext>
            </a:extLst>
          </xdr:cNvPr>
          <xdr:cNvGrpSpPr/>
        </xdr:nvGrpSpPr>
        <xdr:grpSpPr>
          <a:xfrm>
            <a:off x="10773597" y="215530"/>
            <a:ext cx="1425389" cy="957239"/>
            <a:chOff x="10094261" y="244105"/>
            <a:chExt cx="1425389" cy="957239"/>
          </a:xfrm>
        </xdr:grpSpPr>
        <xdr:pic>
          <xdr:nvPicPr>
            <xdr:cNvPr id="96" name="Picture 95">
              <a:extLst>
                <a:ext uri="{FF2B5EF4-FFF2-40B4-BE49-F238E27FC236}">
                  <a16:creationId xmlns:a16="http://schemas.microsoft.com/office/drawing/2014/main" id="{00000000-0008-0000-0100-000060000000}"/>
                </a:ext>
                <a:ext uri="{147F2762-F138-4A5C-976F-8EAC2B608ADB}">
                  <a16:predDERef xmlns:a16="http://schemas.microsoft.com/office/drawing/2014/main" pred="{4BF98531-84AF-FD02-8989-724C2737A24A}"/>
                </a:ext>
              </a:extLst>
            </xdr:cNvPr>
            <xdr:cNvPicPr>
              <a:picLocks noChangeAspect="1"/>
            </xdr:cNvPicPr>
          </xdr:nvPicPr>
          <xdr:blipFill>
            <a:blip xmlns:r="http://schemas.openxmlformats.org/officeDocument/2006/relationships" r:embed="rId30"/>
            <a:stretch>
              <a:fillRect/>
            </a:stretch>
          </xdr:blipFill>
          <xdr:spPr>
            <a:xfrm>
              <a:off x="10548612" y="244105"/>
              <a:ext cx="458002" cy="608284"/>
            </a:xfrm>
            <a:prstGeom prst="rect">
              <a:avLst/>
            </a:prstGeom>
          </xdr:spPr>
        </xdr:pic>
        <xdr:sp macro="" textlink="">
          <xdr:nvSpPr>
            <xdr:cNvPr id="97" name="TextBox 96">
              <a:extLst>
                <a:ext uri="{FF2B5EF4-FFF2-40B4-BE49-F238E27FC236}">
                  <a16:creationId xmlns:a16="http://schemas.microsoft.com/office/drawing/2014/main" id="{00000000-0008-0000-0100-000061000000}"/>
                </a:ext>
              </a:extLst>
            </xdr:cNvPr>
            <xdr:cNvSpPr txBox="1"/>
          </xdr:nvSpPr>
          <xdr:spPr>
            <a:xfrm>
              <a:off x="10094261" y="797789"/>
              <a:ext cx="1425389" cy="403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LOWER</a:t>
              </a:r>
            </a:p>
            <a:p>
              <a:pPr algn="ctr"/>
              <a:r>
                <a:rPr lang="en-US" sz="1000" b="0" baseline="0">
                  <a:latin typeface="72 Black" panose="020B0A04030603020204" pitchFamily="34" charset="0"/>
                  <a:cs typeface="72 Black" panose="020B0A04030603020204" pitchFamily="34" charset="0"/>
                </a:rPr>
                <a:t> CARBON POWER</a:t>
              </a:r>
              <a:endParaRPr lang="en-US" sz="1000" b="0">
                <a:latin typeface="72 Black" panose="020B0A04030603020204" pitchFamily="34" charset="0"/>
                <a:cs typeface="72 Black" panose="020B0A04030603020204" pitchFamily="34" charset="0"/>
              </a:endParaRPr>
            </a:p>
          </xdr:txBody>
        </xdr:sp>
      </xdr:grpSp>
      <xdr:sp macro="" textlink="">
        <xdr:nvSpPr>
          <xdr:cNvPr id="92" name="Rectangle: Rounded Corners 91">
            <a:extLst>
              <a:ext uri="{FF2B5EF4-FFF2-40B4-BE49-F238E27FC236}">
                <a16:creationId xmlns:a16="http://schemas.microsoft.com/office/drawing/2014/main" id="{00000000-0008-0000-0100-00005C000000}"/>
              </a:ext>
            </a:extLst>
          </xdr:cNvPr>
          <xdr:cNvSpPr/>
        </xdr:nvSpPr>
        <xdr:spPr>
          <a:xfrm>
            <a:off x="4868141" y="64241"/>
            <a:ext cx="2230848" cy="1115483"/>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grpSp>
        <xdr:nvGrpSpPr>
          <xdr:cNvPr id="93" name="Group 92">
            <a:hlinkClick xmlns:r="http://schemas.openxmlformats.org/officeDocument/2006/relationships" r:id="rId31"/>
            <a:extLst>
              <a:ext uri="{FF2B5EF4-FFF2-40B4-BE49-F238E27FC236}">
                <a16:creationId xmlns:a16="http://schemas.microsoft.com/office/drawing/2014/main" id="{00000000-0008-0000-0100-00005D000000}"/>
              </a:ext>
            </a:extLst>
          </xdr:cNvPr>
          <xdr:cNvGrpSpPr/>
        </xdr:nvGrpSpPr>
        <xdr:grpSpPr>
          <a:xfrm>
            <a:off x="1717819" y="429577"/>
            <a:ext cx="521114" cy="502920"/>
            <a:chOff x="1714500" y="434340"/>
            <a:chExt cx="521114" cy="502920"/>
          </a:xfrm>
        </xdr:grpSpPr>
        <xdr:pic>
          <xdr:nvPicPr>
            <xdr:cNvPr id="94" name="Picture 93">
              <a:extLst>
                <a:ext uri="{FF2B5EF4-FFF2-40B4-BE49-F238E27FC236}">
                  <a16:creationId xmlns:a16="http://schemas.microsoft.com/office/drawing/2014/main" id="{00000000-0008-0000-0100-00005E000000}"/>
                </a:ext>
              </a:extLst>
            </xdr:cNvPr>
            <xdr:cNvPicPr>
              <a:picLocks noChangeAspect="1"/>
            </xdr:cNvPicPr>
          </xdr:nvPicPr>
          <xdr:blipFill>
            <a:blip xmlns:r="http://schemas.openxmlformats.org/officeDocument/2006/relationships" r:embed="rId32"/>
            <a:stretch>
              <a:fillRect/>
            </a:stretch>
          </xdr:blipFill>
          <xdr:spPr>
            <a:xfrm>
              <a:off x="1739946" y="434340"/>
              <a:ext cx="495668" cy="367536"/>
            </a:xfrm>
            <a:prstGeom prst="rect">
              <a:avLst/>
            </a:prstGeom>
          </xdr:spPr>
        </xdr:pic>
        <xdr:sp macro="" textlink="">
          <xdr:nvSpPr>
            <xdr:cNvPr id="95" name="TextBox 94">
              <a:extLst>
                <a:ext uri="{FF2B5EF4-FFF2-40B4-BE49-F238E27FC236}">
                  <a16:creationId xmlns:a16="http://schemas.microsoft.com/office/drawing/2014/main" id="{00000000-0008-0000-0100-00005F000000}"/>
                </a:ext>
              </a:extLst>
            </xdr:cNvPr>
            <xdr:cNvSpPr txBox="1"/>
          </xdr:nvSpPr>
          <xdr:spPr>
            <a:xfrm>
              <a:off x="1714500" y="762000"/>
              <a:ext cx="510540" cy="175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latin typeface="72 Black" panose="020B0A04030603020204" pitchFamily="34" charset="0"/>
                  <a:cs typeface="72 Black" panose="020B0A04030603020204" pitchFamily="34" charset="0"/>
                </a:rPr>
                <a:t>FAQ</a:t>
              </a:r>
            </a:p>
          </xdr:txBody>
        </xdr:sp>
      </xdr:grpSp>
    </xdr:grpSp>
    <xdr:clientData/>
  </xdr:twoCellAnchor>
  <xdr:twoCellAnchor editAs="oneCell">
    <xdr:from>
      <xdr:col>6</xdr:col>
      <xdr:colOff>82177</xdr:colOff>
      <xdr:row>64</xdr:row>
      <xdr:rowOff>7470</xdr:rowOff>
    </xdr:from>
    <xdr:to>
      <xdr:col>17</xdr:col>
      <xdr:colOff>204882</xdr:colOff>
      <xdr:row>92</xdr:row>
      <xdr:rowOff>150869</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3"/>
        <a:stretch>
          <a:fillRect/>
        </a:stretch>
      </xdr:blipFill>
      <xdr:spPr>
        <a:xfrm>
          <a:off x="3937001" y="13439588"/>
          <a:ext cx="7186706" cy="51636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554537</xdr:colOff>
      <xdr:row>0</xdr:row>
      <xdr:rowOff>1190625</xdr:rowOff>
    </xdr:to>
    <xdr:grpSp>
      <xdr:nvGrpSpPr>
        <xdr:cNvPr id="67" name="Group 66">
          <a:extLst>
            <a:ext uri="{FF2B5EF4-FFF2-40B4-BE49-F238E27FC236}">
              <a16:creationId xmlns:a16="http://schemas.microsoft.com/office/drawing/2014/main" id="{00000000-0008-0000-0200-000043000000}"/>
            </a:ext>
          </a:extLst>
        </xdr:cNvPr>
        <xdr:cNvGrpSpPr/>
      </xdr:nvGrpSpPr>
      <xdr:grpSpPr>
        <a:xfrm>
          <a:off x="0" y="0"/>
          <a:ext cx="11856110" cy="1190625"/>
          <a:chOff x="0" y="0"/>
          <a:chExt cx="12198986" cy="1190625"/>
        </a:xfrm>
      </xdr:grpSpPr>
      <xdr:sp macro="" textlink="">
        <xdr:nvSpPr>
          <xdr:cNvPr id="68" name="TextBox 67">
            <a:extLst>
              <a:ext uri="{FF2B5EF4-FFF2-40B4-BE49-F238E27FC236}">
                <a16:creationId xmlns:a16="http://schemas.microsoft.com/office/drawing/2014/main" id="{00000000-0008-0000-0200-000044000000}"/>
              </a:ext>
            </a:extLst>
          </xdr:cNvPr>
          <xdr:cNvSpPr txBox="1"/>
        </xdr:nvSpPr>
        <xdr:spPr>
          <a:xfrm>
            <a:off x="849027" y="17369"/>
            <a:ext cx="871625" cy="330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ABOUT</a:t>
            </a:r>
          </a:p>
        </xdr:txBody>
      </xdr:sp>
      <xdr:sp macro="" textlink="">
        <xdr:nvSpPr>
          <xdr:cNvPr id="69" name="TextBox 68">
            <a:extLst>
              <a:ext uri="{FF2B5EF4-FFF2-40B4-BE49-F238E27FC236}">
                <a16:creationId xmlns:a16="http://schemas.microsoft.com/office/drawing/2014/main" id="{00000000-0008-0000-0200-000045000000}"/>
              </a:ext>
            </a:extLst>
          </xdr:cNvPr>
          <xdr:cNvSpPr txBox="1"/>
        </xdr:nvSpPr>
        <xdr:spPr>
          <a:xfrm>
            <a:off x="4905072" y="0"/>
            <a:ext cx="1460728" cy="336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DASHBOARD</a:t>
            </a:r>
          </a:p>
        </xdr:txBody>
      </xdr:sp>
      <xdr:sp macro="" textlink="">
        <xdr:nvSpPr>
          <xdr:cNvPr id="70" name="TextBox 69">
            <a:extLst>
              <a:ext uri="{FF2B5EF4-FFF2-40B4-BE49-F238E27FC236}">
                <a16:creationId xmlns:a16="http://schemas.microsoft.com/office/drawing/2014/main" id="{00000000-0008-0000-0200-000046000000}"/>
              </a:ext>
            </a:extLst>
          </xdr:cNvPr>
          <xdr:cNvSpPr txBox="1"/>
        </xdr:nvSpPr>
        <xdr:spPr>
          <a:xfrm>
            <a:off x="7295787" y="9525"/>
            <a:ext cx="1640043" cy="336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CALCULATIONS</a:t>
            </a:r>
          </a:p>
        </xdr:txBody>
      </xdr:sp>
      <xdr:pic>
        <xdr:nvPicPr>
          <xdr:cNvPr id="71" name="Picture 70">
            <a:hlinkClick xmlns:r="http://schemas.openxmlformats.org/officeDocument/2006/relationships" r:id="rId1" tooltip="Education"/>
            <a:extLst>
              <a:ext uri="{FF2B5EF4-FFF2-40B4-BE49-F238E27FC236}">
                <a16:creationId xmlns:a16="http://schemas.microsoft.com/office/drawing/2014/main" id="{00000000-0008-0000-0200-00004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1034" y="300037"/>
            <a:ext cx="781668" cy="762000"/>
          </a:xfrm>
          <a:prstGeom prst="rect">
            <a:avLst/>
          </a:prstGeom>
          <a:ln>
            <a:noFill/>
          </a:ln>
        </xdr:spPr>
      </xdr:pic>
      <xdr:pic>
        <xdr:nvPicPr>
          <xdr:cNvPr id="72" name="Picture 71">
            <a:hlinkClick xmlns:r="http://schemas.openxmlformats.org/officeDocument/2006/relationships" r:id="rId3" tooltip="Terms &amp; Conditions"/>
            <a:extLst>
              <a:ext uri="{FF2B5EF4-FFF2-40B4-BE49-F238E27FC236}">
                <a16:creationId xmlns:a16="http://schemas.microsoft.com/office/drawing/2014/main" id="{00000000-0008-0000-0200-00004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75950" y="301561"/>
            <a:ext cx="779626" cy="758952"/>
          </a:xfrm>
          <a:prstGeom prst="rect">
            <a:avLst/>
          </a:prstGeom>
          <a:ln>
            <a:noFill/>
          </a:ln>
        </xdr:spPr>
      </xdr:pic>
      <xdr:pic>
        <xdr:nvPicPr>
          <xdr:cNvPr id="73" name="Picture 72">
            <a:hlinkClick xmlns:r="http://schemas.openxmlformats.org/officeDocument/2006/relationships" r:id="rId5" tooltip="User Guide"/>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92593" y="301561"/>
            <a:ext cx="779626" cy="758952"/>
          </a:xfrm>
          <a:prstGeom prst="rect">
            <a:avLst/>
          </a:prstGeom>
        </xdr:spPr>
      </xdr:pic>
      <xdr:pic>
        <xdr:nvPicPr>
          <xdr:cNvPr id="74" name="Picture 73">
            <a:hlinkClick xmlns:r="http://schemas.openxmlformats.org/officeDocument/2006/relationships" r:id="rId7" tooltip="Dashboard"/>
            <a:extLst>
              <a:ext uri="{FF2B5EF4-FFF2-40B4-BE49-F238E27FC236}">
                <a16:creationId xmlns:a16="http://schemas.microsoft.com/office/drawing/2014/main" id="{00000000-0008-0000-0200-00004A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924641" y="314325"/>
            <a:ext cx="779626" cy="758952"/>
          </a:xfrm>
          <a:prstGeom prst="rect">
            <a:avLst/>
          </a:prstGeom>
        </xdr:spPr>
      </xdr:pic>
      <xdr:pic>
        <xdr:nvPicPr>
          <xdr:cNvPr id="75" name="Picture 74">
            <a:hlinkClick xmlns:r="http://schemas.openxmlformats.org/officeDocument/2006/relationships" r:id="rId9" tooltip="Factors"/>
            <a:extLst>
              <a:ext uri="{FF2B5EF4-FFF2-40B4-BE49-F238E27FC236}">
                <a16:creationId xmlns:a16="http://schemas.microsoft.com/office/drawing/2014/main" id="{00000000-0008-0000-0200-00004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323820" y="314325"/>
            <a:ext cx="779626" cy="758952"/>
          </a:xfrm>
          <a:prstGeom prst="rect">
            <a:avLst/>
          </a:prstGeom>
        </xdr:spPr>
      </xdr:pic>
      <xdr:pic>
        <xdr:nvPicPr>
          <xdr:cNvPr id="76" name="Picture 75">
            <a:hlinkClick xmlns:r="http://schemas.openxmlformats.org/officeDocument/2006/relationships" r:id="rId11" tooltip="Alternative Calculations"/>
            <a:extLst>
              <a:ext uri="{FF2B5EF4-FFF2-40B4-BE49-F238E27FC236}">
                <a16:creationId xmlns:a16="http://schemas.microsoft.com/office/drawing/2014/main" id="{00000000-0008-0000-0200-00004C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678045" y="314325"/>
            <a:ext cx="779626" cy="758952"/>
          </a:xfrm>
          <a:prstGeom prst="rect">
            <a:avLst/>
          </a:prstGeom>
        </xdr:spPr>
      </xdr:pic>
      <xdr:pic>
        <xdr:nvPicPr>
          <xdr:cNvPr id="77" name="Picture 76">
            <a:hlinkClick xmlns:r="http://schemas.openxmlformats.org/officeDocument/2006/relationships" r:id="rId13" tooltip="Abbreviations"/>
            <a:extLst>
              <a:ext uri="{FF2B5EF4-FFF2-40B4-BE49-F238E27FC236}">
                <a16:creationId xmlns:a16="http://schemas.microsoft.com/office/drawing/2014/main" id="{00000000-0008-0000-0200-00004D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909237" y="301561"/>
            <a:ext cx="783981" cy="758952"/>
          </a:xfrm>
          <a:prstGeom prst="rect">
            <a:avLst/>
          </a:prstGeom>
        </xdr:spPr>
      </xdr:pic>
      <xdr:pic>
        <xdr:nvPicPr>
          <xdr:cNvPr id="78" name="Picture 77">
            <a:hlinkClick xmlns:r="http://schemas.openxmlformats.org/officeDocument/2006/relationships" r:id="rId15" tooltip="Oil and Refined Products"/>
            <a:extLst>
              <a:ext uri="{FF2B5EF4-FFF2-40B4-BE49-F238E27FC236}">
                <a16:creationId xmlns:a16="http://schemas.microsoft.com/office/drawing/2014/main" id="{00000000-0008-0000-0200-00004E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256651" y="304800"/>
            <a:ext cx="779626" cy="758952"/>
          </a:xfrm>
          <a:prstGeom prst="rect">
            <a:avLst/>
          </a:prstGeom>
        </xdr:spPr>
      </xdr:pic>
      <xdr:sp macro="" textlink="">
        <xdr:nvSpPr>
          <xdr:cNvPr id="79" name="Rectangle: Rounded Corners 78">
            <a:extLst>
              <a:ext uri="{FF2B5EF4-FFF2-40B4-BE49-F238E27FC236}">
                <a16:creationId xmlns:a16="http://schemas.microsoft.com/office/drawing/2014/main" id="{00000000-0008-0000-0200-00004F000000}"/>
              </a:ext>
            </a:extLst>
          </xdr:cNvPr>
          <xdr:cNvSpPr/>
        </xdr:nvSpPr>
        <xdr:spPr>
          <a:xfrm>
            <a:off x="831680" y="57150"/>
            <a:ext cx="3885100" cy="11334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sp macro="" textlink="">
        <xdr:nvSpPr>
          <xdr:cNvPr id="80" name="Rectangle: Rounded Corners 79">
            <a:extLst>
              <a:ext uri="{FF2B5EF4-FFF2-40B4-BE49-F238E27FC236}">
                <a16:creationId xmlns:a16="http://schemas.microsoft.com/office/drawing/2014/main" id="{00000000-0008-0000-0200-000050000000}"/>
              </a:ext>
            </a:extLst>
          </xdr:cNvPr>
          <xdr:cNvSpPr/>
        </xdr:nvSpPr>
        <xdr:spPr>
          <a:xfrm>
            <a:off x="7237082" y="47625"/>
            <a:ext cx="4881220" cy="11334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pic>
        <xdr:nvPicPr>
          <xdr:cNvPr id="81" name="Picture 80">
            <a:hlinkClick xmlns:r="http://schemas.openxmlformats.org/officeDocument/2006/relationships" r:id="rId17" tooltip="Home"/>
            <a:extLst>
              <a:ext uri="{FF2B5EF4-FFF2-40B4-BE49-F238E27FC236}">
                <a16:creationId xmlns:a16="http://schemas.microsoft.com/office/drawing/2014/main" id="{00000000-0008-0000-0200-000051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0" y="323850"/>
            <a:ext cx="779626" cy="758952"/>
          </a:xfrm>
          <a:prstGeom prst="rect">
            <a:avLst/>
          </a:prstGeom>
        </xdr:spPr>
      </xdr:pic>
      <xdr:grpSp>
        <xdr:nvGrpSpPr>
          <xdr:cNvPr id="82" name="Group 81">
            <a:extLst>
              <a:ext uri="{FF2B5EF4-FFF2-40B4-BE49-F238E27FC236}">
                <a16:creationId xmlns:a16="http://schemas.microsoft.com/office/drawing/2014/main" id="{00000000-0008-0000-0200-000052000000}"/>
              </a:ext>
            </a:extLst>
          </xdr:cNvPr>
          <xdr:cNvGrpSpPr/>
        </xdr:nvGrpSpPr>
        <xdr:grpSpPr>
          <a:xfrm>
            <a:off x="8739731" y="304801"/>
            <a:ext cx="779626" cy="652742"/>
            <a:chOff x="8739731" y="304801"/>
            <a:chExt cx="779626" cy="652742"/>
          </a:xfrm>
        </xdr:grpSpPr>
        <xdr:pic>
          <xdr:nvPicPr>
            <xdr:cNvPr id="99" name="Picture 98">
              <a:hlinkClick xmlns:r="http://schemas.openxmlformats.org/officeDocument/2006/relationships" r:id="rId19" tooltip="Gas &amp; LNG"/>
              <a:extLst>
                <a:ext uri="{FF2B5EF4-FFF2-40B4-BE49-F238E27FC236}">
                  <a16:creationId xmlns:a16="http://schemas.microsoft.com/office/drawing/2014/main" id="{00000000-0008-0000-0200-000063000000}"/>
                </a:ext>
              </a:extLst>
            </xdr:cNvPr>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b="32893"/>
            <a:stretch/>
          </xdr:blipFill>
          <xdr:spPr>
            <a:xfrm>
              <a:off x="8739731" y="304801"/>
              <a:ext cx="779626" cy="509306"/>
            </a:xfrm>
            <a:prstGeom prst="rect">
              <a:avLst/>
            </a:prstGeom>
          </xdr:spPr>
        </xdr:pic>
        <xdr:sp macro="" textlink="">
          <xdr:nvSpPr>
            <xdr:cNvPr id="100" name="TextBox 99">
              <a:extLst>
                <a:ext uri="{FF2B5EF4-FFF2-40B4-BE49-F238E27FC236}">
                  <a16:creationId xmlns:a16="http://schemas.microsoft.com/office/drawing/2014/main" id="{00000000-0008-0000-0200-000064000000}"/>
                </a:ext>
              </a:extLst>
            </xdr:cNvPr>
            <xdr:cNvSpPr txBox="1"/>
          </xdr:nvSpPr>
          <xdr:spPr>
            <a:xfrm>
              <a:off x="8846184" y="769283"/>
              <a:ext cx="537883" cy="18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NGLs</a:t>
              </a:r>
            </a:p>
          </xdr:txBody>
        </xdr:sp>
      </xdr:grpSp>
      <xdr:grpSp>
        <xdr:nvGrpSpPr>
          <xdr:cNvPr id="83" name="Group 82">
            <a:hlinkClick xmlns:r="http://schemas.openxmlformats.org/officeDocument/2006/relationships" r:id="rId21"/>
            <a:extLst>
              <a:ext uri="{FF2B5EF4-FFF2-40B4-BE49-F238E27FC236}">
                <a16:creationId xmlns:a16="http://schemas.microsoft.com/office/drawing/2014/main" id="{00000000-0008-0000-0200-000053000000}"/>
              </a:ext>
            </a:extLst>
          </xdr:cNvPr>
          <xdr:cNvGrpSpPr/>
        </xdr:nvGrpSpPr>
        <xdr:grpSpPr>
          <a:xfrm>
            <a:off x="7963288" y="399140"/>
            <a:ext cx="936684" cy="558403"/>
            <a:chOff x="7252446" y="427715"/>
            <a:chExt cx="932330" cy="558403"/>
          </a:xfrm>
        </xdr:grpSpPr>
        <xdr:pic>
          <xdr:nvPicPr>
            <xdr:cNvPr id="97" name="Picture 96">
              <a:extLst>
                <a:ext uri="{FF2B5EF4-FFF2-40B4-BE49-F238E27FC236}">
                  <a16:creationId xmlns:a16="http://schemas.microsoft.com/office/drawing/2014/main" id="{00000000-0008-0000-0200-000061000000}"/>
                </a:ext>
                <a:ext uri="{147F2762-F138-4A5C-976F-8EAC2B608ADB}">
                  <a16:predDERef xmlns:a16="http://schemas.microsoft.com/office/drawing/2014/main" pred="{EF1B35E2-6469-5D85-6D58-31B6837836BF}"/>
                </a:ext>
              </a:extLst>
            </xdr:cNvPr>
            <xdr:cNvPicPr>
              <a:picLocks noChangeAspect="1"/>
            </xdr:cNvPicPr>
          </xdr:nvPicPr>
          <xdr:blipFill>
            <a:blip xmlns:r="http://schemas.openxmlformats.org/officeDocument/2006/relationships" r:embed="rId22"/>
            <a:stretch>
              <a:fillRect/>
            </a:stretch>
          </xdr:blipFill>
          <xdr:spPr>
            <a:xfrm>
              <a:off x="7404131" y="427715"/>
              <a:ext cx="582522" cy="453422"/>
            </a:xfrm>
            <a:prstGeom prst="rect">
              <a:avLst/>
            </a:prstGeom>
          </xdr:spPr>
        </xdr:pic>
        <xdr:sp macro="" textlink="">
          <xdr:nvSpPr>
            <xdr:cNvPr id="98" name="TextBox 97">
              <a:extLst>
                <a:ext uri="{FF2B5EF4-FFF2-40B4-BE49-F238E27FC236}">
                  <a16:creationId xmlns:a16="http://schemas.microsoft.com/office/drawing/2014/main" id="{00000000-0008-0000-0200-000062000000}"/>
                </a:ext>
              </a:extLst>
            </xdr:cNvPr>
            <xdr:cNvSpPr txBox="1"/>
          </xdr:nvSpPr>
          <xdr:spPr>
            <a:xfrm>
              <a:off x="7252446" y="815785"/>
              <a:ext cx="932330" cy="17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b="0">
                  <a:latin typeface="72 Black" panose="020B0A04030603020204" pitchFamily="34" charset="0"/>
                  <a:cs typeface="72 Black" panose="020B0A04030603020204" pitchFamily="34" charset="0"/>
                </a:rPr>
                <a:t>GAS</a:t>
              </a:r>
              <a:r>
                <a:rPr lang="en-US" sz="900" b="0" baseline="0">
                  <a:latin typeface="72 Black" panose="020B0A04030603020204" pitchFamily="34" charset="0"/>
                  <a:cs typeface="72 Black" panose="020B0A04030603020204" pitchFamily="34" charset="0"/>
                </a:rPr>
                <a:t> &amp; LNG</a:t>
              </a:r>
              <a:endParaRPr lang="en-US" sz="900" b="0">
                <a:latin typeface="72 Black" panose="020B0A04030603020204" pitchFamily="34" charset="0"/>
                <a:cs typeface="72 Black" panose="020B0A04030603020204" pitchFamily="34" charset="0"/>
              </a:endParaRPr>
            </a:p>
          </xdr:txBody>
        </xdr:sp>
      </xdr:grpSp>
      <xdr:grpSp>
        <xdr:nvGrpSpPr>
          <xdr:cNvPr id="84" name="Group 83">
            <a:hlinkClick xmlns:r="http://schemas.openxmlformats.org/officeDocument/2006/relationships" r:id="rId23"/>
            <a:extLst>
              <a:ext uri="{FF2B5EF4-FFF2-40B4-BE49-F238E27FC236}">
                <a16:creationId xmlns:a16="http://schemas.microsoft.com/office/drawing/2014/main" id="{00000000-0008-0000-0200-000054000000}"/>
              </a:ext>
            </a:extLst>
          </xdr:cNvPr>
          <xdr:cNvGrpSpPr/>
        </xdr:nvGrpSpPr>
        <xdr:grpSpPr>
          <a:xfrm>
            <a:off x="10117854" y="449143"/>
            <a:ext cx="952892" cy="517367"/>
            <a:chOff x="9402658" y="477718"/>
            <a:chExt cx="952892" cy="517367"/>
          </a:xfrm>
        </xdr:grpSpPr>
        <xdr:pic>
          <xdr:nvPicPr>
            <xdr:cNvPr id="95" name="Picture 94">
              <a:extLst>
                <a:ext uri="{FF2B5EF4-FFF2-40B4-BE49-F238E27FC236}">
                  <a16:creationId xmlns:a16="http://schemas.microsoft.com/office/drawing/2014/main" id="{00000000-0008-0000-0200-00005F000000}"/>
                </a:ext>
              </a:extLst>
            </xdr:cNvPr>
            <xdr:cNvPicPr>
              <a:picLocks noChangeAspect="1"/>
            </xdr:cNvPicPr>
          </xdr:nvPicPr>
          <xdr:blipFill>
            <a:blip xmlns:r="http://schemas.openxmlformats.org/officeDocument/2006/relationships" r:embed="rId24"/>
            <a:stretch>
              <a:fillRect/>
            </a:stretch>
          </xdr:blipFill>
          <xdr:spPr>
            <a:xfrm>
              <a:off x="9525454" y="477718"/>
              <a:ext cx="679846" cy="340639"/>
            </a:xfrm>
            <a:prstGeom prst="rect">
              <a:avLst/>
            </a:prstGeom>
          </xdr:spPr>
        </xdr:pic>
        <xdr:sp macro="" textlink="">
          <xdr:nvSpPr>
            <xdr:cNvPr id="96" name="TextBox 95">
              <a:extLst>
                <a:ext uri="{FF2B5EF4-FFF2-40B4-BE49-F238E27FC236}">
                  <a16:creationId xmlns:a16="http://schemas.microsoft.com/office/drawing/2014/main" id="{00000000-0008-0000-0200-000060000000}"/>
                </a:ext>
              </a:extLst>
            </xdr:cNvPr>
            <xdr:cNvSpPr txBox="1"/>
          </xdr:nvSpPr>
          <xdr:spPr>
            <a:xfrm>
              <a:off x="9402658" y="806825"/>
              <a:ext cx="952892" cy="18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HYDROGEN</a:t>
              </a:r>
            </a:p>
          </xdr:txBody>
        </xdr:sp>
      </xdr:grpSp>
      <xdr:grpSp>
        <xdr:nvGrpSpPr>
          <xdr:cNvPr id="85" name="Group 84">
            <a:hlinkClick xmlns:r="http://schemas.openxmlformats.org/officeDocument/2006/relationships" r:id="rId25"/>
            <a:extLst>
              <a:ext uri="{FF2B5EF4-FFF2-40B4-BE49-F238E27FC236}">
                <a16:creationId xmlns:a16="http://schemas.microsoft.com/office/drawing/2014/main" id="{00000000-0008-0000-0200-000055000000}"/>
              </a:ext>
            </a:extLst>
          </xdr:cNvPr>
          <xdr:cNvGrpSpPr/>
        </xdr:nvGrpSpPr>
        <xdr:grpSpPr>
          <a:xfrm>
            <a:off x="9340366" y="249331"/>
            <a:ext cx="841559" cy="690282"/>
            <a:chOff x="8625170" y="277906"/>
            <a:chExt cx="841559" cy="690282"/>
          </a:xfrm>
        </xdr:grpSpPr>
        <xdr:pic>
          <xdr:nvPicPr>
            <xdr:cNvPr id="93" name="Picture 92">
              <a:extLst>
                <a:ext uri="{FF2B5EF4-FFF2-40B4-BE49-F238E27FC236}">
                  <a16:creationId xmlns:a16="http://schemas.microsoft.com/office/drawing/2014/main" id="{00000000-0008-0000-0200-00005D000000}"/>
                </a:ext>
                <a:ext uri="{147F2762-F138-4A5C-976F-8EAC2B608ADB}">
                  <a16:predDERef xmlns:a16="http://schemas.microsoft.com/office/drawing/2014/main" pred="{C3724981-7622-998F-1DE2-D8A1EDB791C5}"/>
                </a:ext>
              </a:extLst>
            </xdr:cNvPr>
            <xdr:cNvPicPr>
              <a:picLocks noChangeAspect="1"/>
            </xdr:cNvPicPr>
          </xdr:nvPicPr>
          <xdr:blipFill>
            <a:blip xmlns:r="http://schemas.openxmlformats.org/officeDocument/2006/relationships" r:embed="rId26"/>
            <a:stretch>
              <a:fillRect/>
            </a:stretch>
          </xdr:blipFill>
          <xdr:spPr>
            <a:xfrm>
              <a:off x="8686800" y="277906"/>
              <a:ext cx="685800" cy="577215"/>
            </a:xfrm>
            <a:prstGeom prst="rect">
              <a:avLst/>
            </a:prstGeom>
          </xdr:spPr>
        </xdr:pic>
        <xdr:sp macro="" textlink="">
          <xdr:nvSpPr>
            <xdr:cNvPr id="94" name="TextBox 93">
              <a:extLst>
                <a:ext uri="{FF2B5EF4-FFF2-40B4-BE49-F238E27FC236}">
                  <a16:creationId xmlns:a16="http://schemas.microsoft.com/office/drawing/2014/main" id="{00000000-0008-0000-0200-00005E000000}"/>
                </a:ext>
              </a:extLst>
            </xdr:cNvPr>
            <xdr:cNvSpPr txBox="1"/>
          </xdr:nvSpPr>
          <xdr:spPr>
            <a:xfrm>
              <a:off x="8625170" y="808505"/>
              <a:ext cx="841559"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BIOFUELS</a:t>
              </a:r>
            </a:p>
          </xdr:txBody>
        </xdr:sp>
      </xdr:grpSp>
      <xdr:grpSp>
        <xdr:nvGrpSpPr>
          <xdr:cNvPr id="86" name="Group 85">
            <a:hlinkClick xmlns:r="http://schemas.openxmlformats.org/officeDocument/2006/relationships" r:id="rId27"/>
            <a:extLst>
              <a:ext uri="{FF2B5EF4-FFF2-40B4-BE49-F238E27FC236}">
                <a16:creationId xmlns:a16="http://schemas.microsoft.com/office/drawing/2014/main" id="{00000000-0008-0000-0200-000056000000}"/>
              </a:ext>
            </a:extLst>
          </xdr:cNvPr>
          <xdr:cNvGrpSpPr/>
        </xdr:nvGrpSpPr>
        <xdr:grpSpPr>
          <a:xfrm>
            <a:off x="10773597" y="215530"/>
            <a:ext cx="1425389" cy="957239"/>
            <a:chOff x="10094261" y="244105"/>
            <a:chExt cx="1425389" cy="957239"/>
          </a:xfrm>
        </xdr:grpSpPr>
        <xdr:pic>
          <xdr:nvPicPr>
            <xdr:cNvPr id="91" name="Picture 90">
              <a:extLst>
                <a:ext uri="{FF2B5EF4-FFF2-40B4-BE49-F238E27FC236}">
                  <a16:creationId xmlns:a16="http://schemas.microsoft.com/office/drawing/2014/main" id="{00000000-0008-0000-0200-00005B000000}"/>
                </a:ext>
                <a:ext uri="{147F2762-F138-4A5C-976F-8EAC2B608ADB}">
                  <a16:predDERef xmlns:a16="http://schemas.microsoft.com/office/drawing/2014/main" pred="{4BF98531-84AF-FD02-8989-724C2737A24A}"/>
                </a:ext>
              </a:extLst>
            </xdr:cNvPr>
            <xdr:cNvPicPr>
              <a:picLocks noChangeAspect="1"/>
            </xdr:cNvPicPr>
          </xdr:nvPicPr>
          <xdr:blipFill>
            <a:blip xmlns:r="http://schemas.openxmlformats.org/officeDocument/2006/relationships" r:embed="rId28"/>
            <a:stretch>
              <a:fillRect/>
            </a:stretch>
          </xdr:blipFill>
          <xdr:spPr>
            <a:xfrm>
              <a:off x="10548612" y="244105"/>
              <a:ext cx="458002" cy="608284"/>
            </a:xfrm>
            <a:prstGeom prst="rect">
              <a:avLst/>
            </a:prstGeom>
          </xdr:spPr>
        </xdr:pic>
        <xdr:sp macro="" textlink="">
          <xdr:nvSpPr>
            <xdr:cNvPr id="92" name="TextBox 91">
              <a:extLst>
                <a:ext uri="{FF2B5EF4-FFF2-40B4-BE49-F238E27FC236}">
                  <a16:creationId xmlns:a16="http://schemas.microsoft.com/office/drawing/2014/main" id="{00000000-0008-0000-0200-00005C000000}"/>
                </a:ext>
              </a:extLst>
            </xdr:cNvPr>
            <xdr:cNvSpPr txBox="1"/>
          </xdr:nvSpPr>
          <xdr:spPr>
            <a:xfrm>
              <a:off x="10094261" y="797789"/>
              <a:ext cx="1425389" cy="403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LOWER</a:t>
              </a:r>
            </a:p>
            <a:p>
              <a:pPr algn="ctr"/>
              <a:r>
                <a:rPr lang="en-US" sz="1000" b="0" baseline="0">
                  <a:latin typeface="72 Black" panose="020B0A04030603020204" pitchFamily="34" charset="0"/>
                  <a:cs typeface="72 Black" panose="020B0A04030603020204" pitchFamily="34" charset="0"/>
                </a:rPr>
                <a:t> CARBON POWER</a:t>
              </a:r>
              <a:endParaRPr lang="en-US" sz="1000" b="0">
                <a:latin typeface="72 Black" panose="020B0A04030603020204" pitchFamily="34" charset="0"/>
                <a:cs typeface="72 Black" panose="020B0A04030603020204" pitchFamily="34" charset="0"/>
              </a:endParaRPr>
            </a:p>
          </xdr:txBody>
        </xdr:sp>
      </xdr:grpSp>
      <xdr:sp macro="" textlink="">
        <xdr:nvSpPr>
          <xdr:cNvPr id="87" name="Rectangle: Rounded Corners 86">
            <a:extLst>
              <a:ext uri="{FF2B5EF4-FFF2-40B4-BE49-F238E27FC236}">
                <a16:creationId xmlns:a16="http://schemas.microsoft.com/office/drawing/2014/main" id="{00000000-0008-0000-0200-000057000000}"/>
              </a:ext>
            </a:extLst>
          </xdr:cNvPr>
          <xdr:cNvSpPr/>
        </xdr:nvSpPr>
        <xdr:spPr>
          <a:xfrm>
            <a:off x="4868141" y="64241"/>
            <a:ext cx="2230848" cy="1115483"/>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grpSp>
        <xdr:nvGrpSpPr>
          <xdr:cNvPr id="88" name="Group 87">
            <a:hlinkClick xmlns:r="http://schemas.openxmlformats.org/officeDocument/2006/relationships" r:id="rId29"/>
            <a:extLst>
              <a:ext uri="{FF2B5EF4-FFF2-40B4-BE49-F238E27FC236}">
                <a16:creationId xmlns:a16="http://schemas.microsoft.com/office/drawing/2014/main" id="{00000000-0008-0000-0200-000058000000}"/>
              </a:ext>
            </a:extLst>
          </xdr:cNvPr>
          <xdr:cNvGrpSpPr/>
        </xdr:nvGrpSpPr>
        <xdr:grpSpPr>
          <a:xfrm>
            <a:off x="1717819" y="429577"/>
            <a:ext cx="521114" cy="502920"/>
            <a:chOff x="1714500" y="434340"/>
            <a:chExt cx="521114" cy="502920"/>
          </a:xfrm>
        </xdr:grpSpPr>
        <xdr:pic>
          <xdr:nvPicPr>
            <xdr:cNvPr id="89" name="Picture 88">
              <a:extLst>
                <a:ext uri="{FF2B5EF4-FFF2-40B4-BE49-F238E27FC236}">
                  <a16:creationId xmlns:a16="http://schemas.microsoft.com/office/drawing/2014/main" id="{00000000-0008-0000-0200-000059000000}"/>
                </a:ext>
              </a:extLst>
            </xdr:cNvPr>
            <xdr:cNvPicPr>
              <a:picLocks noChangeAspect="1"/>
            </xdr:cNvPicPr>
          </xdr:nvPicPr>
          <xdr:blipFill>
            <a:blip xmlns:r="http://schemas.openxmlformats.org/officeDocument/2006/relationships" r:embed="rId30"/>
            <a:stretch>
              <a:fillRect/>
            </a:stretch>
          </xdr:blipFill>
          <xdr:spPr>
            <a:xfrm>
              <a:off x="1739946" y="434340"/>
              <a:ext cx="495668" cy="367536"/>
            </a:xfrm>
            <a:prstGeom prst="rect">
              <a:avLst/>
            </a:prstGeom>
          </xdr:spPr>
        </xdr:pic>
        <xdr:sp macro="" textlink="">
          <xdr:nvSpPr>
            <xdr:cNvPr id="90" name="TextBox 89">
              <a:extLst>
                <a:ext uri="{FF2B5EF4-FFF2-40B4-BE49-F238E27FC236}">
                  <a16:creationId xmlns:a16="http://schemas.microsoft.com/office/drawing/2014/main" id="{00000000-0008-0000-0200-00005A000000}"/>
                </a:ext>
              </a:extLst>
            </xdr:cNvPr>
            <xdr:cNvSpPr txBox="1"/>
          </xdr:nvSpPr>
          <xdr:spPr>
            <a:xfrm>
              <a:off x="1714500" y="762000"/>
              <a:ext cx="510540" cy="175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latin typeface="72 Black" panose="020B0A04030603020204" pitchFamily="34" charset="0"/>
                  <a:cs typeface="72 Black" panose="020B0A04030603020204" pitchFamily="34" charset="0"/>
                </a:rPr>
                <a:t>FAQ</a:t>
              </a: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21137</xdr:colOff>
      <xdr:row>0</xdr:row>
      <xdr:rowOff>1190625</xdr:rowOff>
    </xdr:to>
    <xdr:grpSp>
      <xdr:nvGrpSpPr>
        <xdr:cNvPr id="67" name="Group 66">
          <a:extLst>
            <a:ext uri="{FF2B5EF4-FFF2-40B4-BE49-F238E27FC236}">
              <a16:creationId xmlns:a16="http://schemas.microsoft.com/office/drawing/2014/main" id="{00000000-0008-0000-0300-000043000000}"/>
            </a:ext>
          </a:extLst>
        </xdr:cNvPr>
        <xdr:cNvGrpSpPr/>
      </xdr:nvGrpSpPr>
      <xdr:grpSpPr>
        <a:xfrm>
          <a:off x="0" y="0"/>
          <a:ext cx="11822612" cy="1190625"/>
          <a:chOff x="0" y="0"/>
          <a:chExt cx="12198986" cy="1190625"/>
        </a:xfrm>
      </xdr:grpSpPr>
      <xdr:sp macro="" textlink="">
        <xdr:nvSpPr>
          <xdr:cNvPr id="68" name="TextBox 67">
            <a:extLst>
              <a:ext uri="{FF2B5EF4-FFF2-40B4-BE49-F238E27FC236}">
                <a16:creationId xmlns:a16="http://schemas.microsoft.com/office/drawing/2014/main" id="{00000000-0008-0000-0300-000044000000}"/>
              </a:ext>
            </a:extLst>
          </xdr:cNvPr>
          <xdr:cNvSpPr txBox="1"/>
        </xdr:nvSpPr>
        <xdr:spPr>
          <a:xfrm>
            <a:off x="849027" y="17369"/>
            <a:ext cx="871625" cy="330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ABOUT</a:t>
            </a:r>
          </a:p>
        </xdr:txBody>
      </xdr:sp>
      <xdr:sp macro="" textlink="">
        <xdr:nvSpPr>
          <xdr:cNvPr id="69" name="TextBox 68">
            <a:extLst>
              <a:ext uri="{FF2B5EF4-FFF2-40B4-BE49-F238E27FC236}">
                <a16:creationId xmlns:a16="http://schemas.microsoft.com/office/drawing/2014/main" id="{00000000-0008-0000-0300-000045000000}"/>
              </a:ext>
            </a:extLst>
          </xdr:cNvPr>
          <xdr:cNvSpPr txBox="1"/>
        </xdr:nvSpPr>
        <xdr:spPr>
          <a:xfrm>
            <a:off x="4905072" y="0"/>
            <a:ext cx="1460728" cy="336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DASHBOARD</a:t>
            </a:r>
          </a:p>
        </xdr:txBody>
      </xdr:sp>
      <xdr:sp macro="" textlink="">
        <xdr:nvSpPr>
          <xdr:cNvPr id="70" name="TextBox 69">
            <a:extLst>
              <a:ext uri="{FF2B5EF4-FFF2-40B4-BE49-F238E27FC236}">
                <a16:creationId xmlns:a16="http://schemas.microsoft.com/office/drawing/2014/main" id="{00000000-0008-0000-0300-000046000000}"/>
              </a:ext>
            </a:extLst>
          </xdr:cNvPr>
          <xdr:cNvSpPr txBox="1"/>
        </xdr:nvSpPr>
        <xdr:spPr>
          <a:xfrm>
            <a:off x="7295787" y="9525"/>
            <a:ext cx="1640043" cy="336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CALCULATIONS</a:t>
            </a:r>
          </a:p>
        </xdr:txBody>
      </xdr:sp>
      <xdr:pic>
        <xdr:nvPicPr>
          <xdr:cNvPr id="71" name="Picture 70">
            <a:hlinkClick xmlns:r="http://schemas.openxmlformats.org/officeDocument/2006/relationships" r:id="rId1" tooltip="Education"/>
            <a:extLst>
              <a:ext uri="{FF2B5EF4-FFF2-40B4-BE49-F238E27FC236}">
                <a16:creationId xmlns:a16="http://schemas.microsoft.com/office/drawing/2014/main" id="{00000000-0008-0000-0300-00004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1034" y="300037"/>
            <a:ext cx="781668" cy="762000"/>
          </a:xfrm>
          <a:prstGeom prst="rect">
            <a:avLst/>
          </a:prstGeom>
          <a:ln>
            <a:noFill/>
          </a:ln>
        </xdr:spPr>
      </xdr:pic>
      <xdr:pic>
        <xdr:nvPicPr>
          <xdr:cNvPr id="72" name="Picture 71">
            <a:hlinkClick xmlns:r="http://schemas.openxmlformats.org/officeDocument/2006/relationships" r:id="rId3" tooltip="Terms &amp; Conditions"/>
            <a:extLst>
              <a:ext uri="{FF2B5EF4-FFF2-40B4-BE49-F238E27FC236}">
                <a16:creationId xmlns:a16="http://schemas.microsoft.com/office/drawing/2014/main" id="{00000000-0008-0000-0300-00004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75950" y="301561"/>
            <a:ext cx="779626" cy="758952"/>
          </a:xfrm>
          <a:prstGeom prst="rect">
            <a:avLst/>
          </a:prstGeom>
          <a:ln>
            <a:noFill/>
          </a:ln>
        </xdr:spPr>
      </xdr:pic>
      <xdr:pic>
        <xdr:nvPicPr>
          <xdr:cNvPr id="73" name="Picture 72">
            <a:hlinkClick xmlns:r="http://schemas.openxmlformats.org/officeDocument/2006/relationships" r:id="rId5" tooltip="User Guide"/>
            <a:extLst>
              <a:ext uri="{FF2B5EF4-FFF2-40B4-BE49-F238E27FC236}">
                <a16:creationId xmlns:a16="http://schemas.microsoft.com/office/drawing/2014/main" id="{00000000-0008-0000-0300-00004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92593" y="301561"/>
            <a:ext cx="779626" cy="758952"/>
          </a:xfrm>
          <a:prstGeom prst="rect">
            <a:avLst/>
          </a:prstGeom>
        </xdr:spPr>
      </xdr:pic>
      <xdr:pic>
        <xdr:nvPicPr>
          <xdr:cNvPr id="74" name="Picture 73">
            <a:hlinkClick xmlns:r="http://schemas.openxmlformats.org/officeDocument/2006/relationships" r:id="rId7" tooltip="Dashboard"/>
            <a:extLst>
              <a:ext uri="{FF2B5EF4-FFF2-40B4-BE49-F238E27FC236}">
                <a16:creationId xmlns:a16="http://schemas.microsoft.com/office/drawing/2014/main" id="{00000000-0008-0000-0300-00004A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924641" y="314325"/>
            <a:ext cx="779626" cy="758952"/>
          </a:xfrm>
          <a:prstGeom prst="rect">
            <a:avLst/>
          </a:prstGeom>
        </xdr:spPr>
      </xdr:pic>
      <xdr:pic>
        <xdr:nvPicPr>
          <xdr:cNvPr id="75" name="Picture 74">
            <a:hlinkClick xmlns:r="http://schemas.openxmlformats.org/officeDocument/2006/relationships" r:id="rId9" tooltip="Factors"/>
            <a:extLst>
              <a:ext uri="{FF2B5EF4-FFF2-40B4-BE49-F238E27FC236}">
                <a16:creationId xmlns:a16="http://schemas.microsoft.com/office/drawing/2014/main" id="{00000000-0008-0000-0300-00004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323820" y="314325"/>
            <a:ext cx="779626" cy="758952"/>
          </a:xfrm>
          <a:prstGeom prst="rect">
            <a:avLst/>
          </a:prstGeom>
        </xdr:spPr>
      </xdr:pic>
      <xdr:pic>
        <xdr:nvPicPr>
          <xdr:cNvPr id="76" name="Picture 75">
            <a:hlinkClick xmlns:r="http://schemas.openxmlformats.org/officeDocument/2006/relationships" r:id="rId11" tooltip="Alternative Calculations"/>
            <a:extLst>
              <a:ext uri="{FF2B5EF4-FFF2-40B4-BE49-F238E27FC236}">
                <a16:creationId xmlns:a16="http://schemas.microsoft.com/office/drawing/2014/main" id="{00000000-0008-0000-0300-00004C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678045" y="314325"/>
            <a:ext cx="779626" cy="758952"/>
          </a:xfrm>
          <a:prstGeom prst="rect">
            <a:avLst/>
          </a:prstGeom>
        </xdr:spPr>
      </xdr:pic>
      <xdr:pic>
        <xdr:nvPicPr>
          <xdr:cNvPr id="77" name="Picture 76">
            <a:hlinkClick xmlns:r="http://schemas.openxmlformats.org/officeDocument/2006/relationships" r:id="rId13" tooltip="Abbreviations"/>
            <a:extLst>
              <a:ext uri="{FF2B5EF4-FFF2-40B4-BE49-F238E27FC236}">
                <a16:creationId xmlns:a16="http://schemas.microsoft.com/office/drawing/2014/main" id="{00000000-0008-0000-0300-00004D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909237" y="301561"/>
            <a:ext cx="783981" cy="758952"/>
          </a:xfrm>
          <a:prstGeom prst="rect">
            <a:avLst/>
          </a:prstGeom>
        </xdr:spPr>
      </xdr:pic>
      <xdr:pic>
        <xdr:nvPicPr>
          <xdr:cNvPr id="78" name="Picture 77">
            <a:hlinkClick xmlns:r="http://schemas.openxmlformats.org/officeDocument/2006/relationships" r:id="rId15" tooltip="Oil and Refined Products"/>
            <a:extLst>
              <a:ext uri="{FF2B5EF4-FFF2-40B4-BE49-F238E27FC236}">
                <a16:creationId xmlns:a16="http://schemas.microsoft.com/office/drawing/2014/main" id="{00000000-0008-0000-0300-00004E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256651" y="304800"/>
            <a:ext cx="779626" cy="758952"/>
          </a:xfrm>
          <a:prstGeom prst="rect">
            <a:avLst/>
          </a:prstGeom>
        </xdr:spPr>
      </xdr:pic>
      <xdr:sp macro="" textlink="">
        <xdr:nvSpPr>
          <xdr:cNvPr id="79" name="Rectangle: Rounded Corners 78">
            <a:extLst>
              <a:ext uri="{FF2B5EF4-FFF2-40B4-BE49-F238E27FC236}">
                <a16:creationId xmlns:a16="http://schemas.microsoft.com/office/drawing/2014/main" id="{00000000-0008-0000-0300-00004F000000}"/>
              </a:ext>
            </a:extLst>
          </xdr:cNvPr>
          <xdr:cNvSpPr/>
        </xdr:nvSpPr>
        <xdr:spPr>
          <a:xfrm>
            <a:off x="831680" y="57150"/>
            <a:ext cx="3885100" cy="11334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sp macro="" textlink="">
        <xdr:nvSpPr>
          <xdr:cNvPr id="80" name="Rectangle: Rounded Corners 79">
            <a:extLst>
              <a:ext uri="{FF2B5EF4-FFF2-40B4-BE49-F238E27FC236}">
                <a16:creationId xmlns:a16="http://schemas.microsoft.com/office/drawing/2014/main" id="{00000000-0008-0000-0300-000050000000}"/>
              </a:ext>
            </a:extLst>
          </xdr:cNvPr>
          <xdr:cNvSpPr/>
        </xdr:nvSpPr>
        <xdr:spPr>
          <a:xfrm>
            <a:off x="7237082" y="47625"/>
            <a:ext cx="4881220" cy="11334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pic>
        <xdr:nvPicPr>
          <xdr:cNvPr id="81" name="Picture 80">
            <a:hlinkClick xmlns:r="http://schemas.openxmlformats.org/officeDocument/2006/relationships" r:id="rId17" tooltip="Home"/>
            <a:extLst>
              <a:ext uri="{FF2B5EF4-FFF2-40B4-BE49-F238E27FC236}">
                <a16:creationId xmlns:a16="http://schemas.microsoft.com/office/drawing/2014/main" id="{00000000-0008-0000-0300-000051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0" y="323850"/>
            <a:ext cx="779626" cy="758952"/>
          </a:xfrm>
          <a:prstGeom prst="rect">
            <a:avLst/>
          </a:prstGeom>
        </xdr:spPr>
      </xdr:pic>
      <xdr:grpSp>
        <xdr:nvGrpSpPr>
          <xdr:cNvPr id="82" name="Group 81">
            <a:extLst>
              <a:ext uri="{FF2B5EF4-FFF2-40B4-BE49-F238E27FC236}">
                <a16:creationId xmlns:a16="http://schemas.microsoft.com/office/drawing/2014/main" id="{00000000-0008-0000-0300-000052000000}"/>
              </a:ext>
            </a:extLst>
          </xdr:cNvPr>
          <xdr:cNvGrpSpPr/>
        </xdr:nvGrpSpPr>
        <xdr:grpSpPr>
          <a:xfrm>
            <a:off x="8739731" y="304801"/>
            <a:ext cx="779626" cy="652742"/>
            <a:chOff x="8739731" y="304801"/>
            <a:chExt cx="779626" cy="652742"/>
          </a:xfrm>
        </xdr:grpSpPr>
        <xdr:pic>
          <xdr:nvPicPr>
            <xdr:cNvPr id="99" name="Picture 98">
              <a:hlinkClick xmlns:r="http://schemas.openxmlformats.org/officeDocument/2006/relationships" r:id="rId19" tooltip="Gas &amp; LNG"/>
              <a:extLst>
                <a:ext uri="{FF2B5EF4-FFF2-40B4-BE49-F238E27FC236}">
                  <a16:creationId xmlns:a16="http://schemas.microsoft.com/office/drawing/2014/main" id="{00000000-0008-0000-0300-000063000000}"/>
                </a:ext>
              </a:extLst>
            </xdr:cNvPr>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b="32893"/>
            <a:stretch/>
          </xdr:blipFill>
          <xdr:spPr>
            <a:xfrm>
              <a:off x="8739731" y="304801"/>
              <a:ext cx="779626" cy="509306"/>
            </a:xfrm>
            <a:prstGeom prst="rect">
              <a:avLst/>
            </a:prstGeom>
          </xdr:spPr>
        </xdr:pic>
        <xdr:sp macro="" textlink="">
          <xdr:nvSpPr>
            <xdr:cNvPr id="100" name="TextBox 99">
              <a:extLst>
                <a:ext uri="{FF2B5EF4-FFF2-40B4-BE49-F238E27FC236}">
                  <a16:creationId xmlns:a16="http://schemas.microsoft.com/office/drawing/2014/main" id="{00000000-0008-0000-0300-000064000000}"/>
                </a:ext>
              </a:extLst>
            </xdr:cNvPr>
            <xdr:cNvSpPr txBox="1"/>
          </xdr:nvSpPr>
          <xdr:spPr>
            <a:xfrm>
              <a:off x="8846184" y="769283"/>
              <a:ext cx="537883" cy="18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NGLs</a:t>
              </a:r>
            </a:p>
          </xdr:txBody>
        </xdr:sp>
      </xdr:grpSp>
      <xdr:grpSp>
        <xdr:nvGrpSpPr>
          <xdr:cNvPr id="83" name="Group 82">
            <a:hlinkClick xmlns:r="http://schemas.openxmlformats.org/officeDocument/2006/relationships" r:id="rId21"/>
            <a:extLst>
              <a:ext uri="{FF2B5EF4-FFF2-40B4-BE49-F238E27FC236}">
                <a16:creationId xmlns:a16="http://schemas.microsoft.com/office/drawing/2014/main" id="{00000000-0008-0000-0300-000053000000}"/>
              </a:ext>
            </a:extLst>
          </xdr:cNvPr>
          <xdr:cNvGrpSpPr/>
        </xdr:nvGrpSpPr>
        <xdr:grpSpPr>
          <a:xfrm>
            <a:off x="7963288" y="399140"/>
            <a:ext cx="936684" cy="558403"/>
            <a:chOff x="7252446" y="427715"/>
            <a:chExt cx="932330" cy="558403"/>
          </a:xfrm>
        </xdr:grpSpPr>
        <xdr:pic>
          <xdr:nvPicPr>
            <xdr:cNvPr id="97" name="Picture 96">
              <a:extLst>
                <a:ext uri="{FF2B5EF4-FFF2-40B4-BE49-F238E27FC236}">
                  <a16:creationId xmlns:a16="http://schemas.microsoft.com/office/drawing/2014/main" id="{00000000-0008-0000-0300-000061000000}"/>
                </a:ext>
                <a:ext uri="{147F2762-F138-4A5C-976F-8EAC2B608ADB}">
                  <a16:predDERef xmlns:a16="http://schemas.microsoft.com/office/drawing/2014/main" pred="{EF1B35E2-6469-5D85-6D58-31B6837836BF}"/>
                </a:ext>
              </a:extLst>
            </xdr:cNvPr>
            <xdr:cNvPicPr>
              <a:picLocks noChangeAspect="1"/>
            </xdr:cNvPicPr>
          </xdr:nvPicPr>
          <xdr:blipFill>
            <a:blip xmlns:r="http://schemas.openxmlformats.org/officeDocument/2006/relationships" r:embed="rId22"/>
            <a:stretch>
              <a:fillRect/>
            </a:stretch>
          </xdr:blipFill>
          <xdr:spPr>
            <a:xfrm>
              <a:off x="7404131" y="427715"/>
              <a:ext cx="582522" cy="453422"/>
            </a:xfrm>
            <a:prstGeom prst="rect">
              <a:avLst/>
            </a:prstGeom>
          </xdr:spPr>
        </xdr:pic>
        <xdr:sp macro="" textlink="">
          <xdr:nvSpPr>
            <xdr:cNvPr id="98" name="TextBox 97">
              <a:extLst>
                <a:ext uri="{FF2B5EF4-FFF2-40B4-BE49-F238E27FC236}">
                  <a16:creationId xmlns:a16="http://schemas.microsoft.com/office/drawing/2014/main" id="{00000000-0008-0000-0300-000062000000}"/>
                </a:ext>
              </a:extLst>
            </xdr:cNvPr>
            <xdr:cNvSpPr txBox="1"/>
          </xdr:nvSpPr>
          <xdr:spPr>
            <a:xfrm>
              <a:off x="7252446" y="815785"/>
              <a:ext cx="932330" cy="17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b="0">
                  <a:latin typeface="72 Black" panose="020B0A04030603020204" pitchFamily="34" charset="0"/>
                  <a:cs typeface="72 Black" panose="020B0A04030603020204" pitchFamily="34" charset="0"/>
                </a:rPr>
                <a:t>GAS</a:t>
              </a:r>
              <a:r>
                <a:rPr lang="en-US" sz="900" b="0" baseline="0">
                  <a:latin typeface="72 Black" panose="020B0A04030603020204" pitchFamily="34" charset="0"/>
                  <a:cs typeface="72 Black" panose="020B0A04030603020204" pitchFamily="34" charset="0"/>
                </a:rPr>
                <a:t> &amp; LNG</a:t>
              </a:r>
              <a:endParaRPr lang="en-US" sz="900" b="0">
                <a:latin typeface="72 Black" panose="020B0A04030603020204" pitchFamily="34" charset="0"/>
                <a:cs typeface="72 Black" panose="020B0A04030603020204" pitchFamily="34" charset="0"/>
              </a:endParaRPr>
            </a:p>
          </xdr:txBody>
        </xdr:sp>
      </xdr:grpSp>
      <xdr:grpSp>
        <xdr:nvGrpSpPr>
          <xdr:cNvPr id="84" name="Group 83">
            <a:hlinkClick xmlns:r="http://schemas.openxmlformats.org/officeDocument/2006/relationships" r:id="rId23"/>
            <a:extLst>
              <a:ext uri="{FF2B5EF4-FFF2-40B4-BE49-F238E27FC236}">
                <a16:creationId xmlns:a16="http://schemas.microsoft.com/office/drawing/2014/main" id="{00000000-0008-0000-0300-000054000000}"/>
              </a:ext>
            </a:extLst>
          </xdr:cNvPr>
          <xdr:cNvGrpSpPr/>
        </xdr:nvGrpSpPr>
        <xdr:grpSpPr>
          <a:xfrm>
            <a:off x="10117854" y="449143"/>
            <a:ext cx="952892" cy="517367"/>
            <a:chOff x="9402658" y="477718"/>
            <a:chExt cx="952892" cy="517367"/>
          </a:xfrm>
        </xdr:grpSpPr>
        <xdr:pic>
          <xdr:nvPicPr>
            <xdr:cNvPr id="95" name="Picture 94">
              <a:extLst>
                <a:ext uri="{FF2B5EF4-FFF2-40B4-BE49-F238E27FC236}">
                  <a16:creationId xmlns:a16="http://schemas.microsoft.com/office/drawing/2014/main" id="{00000000-0008-0000-0300-00005F000000}"/>
                </a:ext>
              </a:extLst>
            </xdr:cNvPr>
            <xdr:cNvPicPr>
              <a:picLocks noChangeAspect="1"/>
            </xdr:cNvPicPr>
          </xdr:nvPicPr>
          <xdr:blipFill>
            <a:blip xmlns:r="http://schemas.openxmlformats.org/officeDocument/2006/relationships" r:embed="rId24"/>
            <a:stretch>
              <a:fillRect/>
            </a:stretch>
          </xdr:blipFill>
          <xdr:spPr>
            <a:xfrm>
              <a:off x="9525454" y="477718"/>
              <a:ext cx="679846" cy="340639"/>
            </a:xfrm>
            <a:prstGeom prst="rect">
              <a:avLst/>
            </a:prstGeom>
          </xdr:spPr>
        </xdr:pic>
        <xdr:sp macro="" textlink="">
          <xdr:nvSpPr>
            <xdr:cNvPr id="96" name="TextBox 95">
              <a:extLst>
                <a:ext uri="{FF2B5EF4-FFF2-40B4-BE49-F238E27FC236}">
                  <a16:creationId xmlns:a16="http://schemas.microsoft.com/office/drawing/2014/main" id="{00000000-0008-0000-0300-000060000000}"/>
                </a:ext>
              </a:extLst>
            </xdr:cNvPr>
            <xdr:cNvSpPr txBox="1"/>
          </xdr:nvSpPr>
          <xdr:spPr>
            <a:xfrm>
              <a:off x="9402658" y="806825"/>
              <a:ext cx="952892" cy="18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HYDROGEN</a:t>
              </a:r>
            </a:p>
          </xdr:txBody>
        </xdr:sp>
      </xdr:grpSp>
      <xdr:grpSp>
        <xdr:nvGrpSpPr>
          <xdr:cNvPr id="85" name="Group 84">
            <a:hlinkClick xmlns:r="http://schemas.openxmlformats.org/officeDocument/2006/relationships" r:id="rId25"/>
            <a:extLst>
              <a:ext uri="{FF2B5EF4-FFF2-40B4-BE49-F238E27FC236}">
                <a16:creationId xmlns:a16="http://schemas.microsoft.com/office/drawing/2014/main" id="{00000000-0008-0000-0300-000055000000}"/>
              </a:ext>
            </a:extLst>
          </xdr:cNvPr>
          <xdr:cNvGrpSpPr/>
        </xdr:nvGrpSpPr>
        <xdr:grpSpPr>
          <a:xfrm>
            <a:off x="9340366" y="249331"/>
            <a:ext cx="841559" cy="690282"/>
            <a:chOff x="8625170" y="277906"/>
            <a:chExt cx="841559" cy="690282"/>
          </a:xfrm>
        </xdr:grpSpPr>
        <xdr:pic>
          <xdr:nvPicPr>
            <xdr:cNvPr id="93" name="Picture 92">
              <a:extLst>
                <a:ext uri="{FF2B5EF4-FFF2-40B4-BE49-F238E27FC236}">
                  <a16:creationId xmlns:a16="http://schemas.microsoft.com/office/drawing/2014/main" id="{00000000-0008-0000-0300-00005D000000}"/>
                </a:ext>
                <a:ext uri="{147F2762-F138-4A5C-976F-8EAC2B608ADB}">
                  <a16:predDERef xmlns:a16="http://schemas.microsoft.com/office/drawing/2014/main" pred="{C3724981-7622-998F-1DE2-D8A1EDB791C5}"/>
                </a:ext>
              </a:extLst>
            </xdr:cNvPr>
            <xdr:cNvPicPr>
              <a:picLocks noChangeAspect="1"/>
            </xdr:cNvPicPr>
          </xdr:nvPicPr>
          <xdr:blipFill>
            <a:blip xmlns:r="http://schemas.openxmlformats.org/officeDocument/2006/relationships" r:embed="rId26"/>
            <a:stretch>
              <a:fillRect/>
            </a:stretch>
          </xdr:blipFill>
          <xdr:spPr>
            <a:xfrm>
              <a:off x="8686800" y="277906"/>
              <a:ext cx="685800" cy="577215"/>
            </a:xfrm>
            <a:prstGeom prst="rect">
              <a:avLst/>
            </a:prstGeom>
          </xdr:spPr>
        </xdr:pic>
        <xdr:sp macro="" textlink="">
          <xdr:nvSpPr>
            <xdr:cNvPr id="94" name="TextBox 93">
              <a:extLst>
                <a:ext uri="{FF2B5EF4-FFF2-40B4-BE49-F238E27FC236}">
                  <a16:creationId xmlns:a16="http://schemas.microsoft.com/office/drawing/2014/main" id="{00000000-0008-0000-0300-00005E000000}"/>
                </a:ext>
              </a:extLst>
            </xdr:cNvPr>
            <xdr:cNvSpPr txBox="1"/>
          </xdr:nvSpPr>
          <xdr:spPr>
            <a:xfrm>
              <a:off x="8625170" y="808505"/>
              <a:ext cx="841559"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BIOFUELS</a:t>
              </a:r>
            </a:p>
          </xdr:txBody>
        </xdr:sp>
      </xdr:grpSp>
      <xdr:grpSp>
        <xdr:nvGrpSpPr>
          <xdr:cNvPr id="86" name="Group 85">
            <a:hlinkClick xmlns:r="http://schemas.openxmlformats.org/officeDocument/2006/relationships" r:id="rId27"/>
            <a:extLst>
              <a:ext uri="{FF2B5EF4-FFF2-40B4-BE49-F238E27FC236}">
                <a16:creationId xmlns:a16="http://schemas.microsoft.com/office/drawing/2014/main" id="{00000000-0008-0000-0300-000056000000}"/>
              </a:ext>
            </a:extLst>
          </xdr:cNvPr>
          <xdr:cNvGrpSpPr/>
        </xdr:nvGrpSpPr>
        <xdr:grpSpPr>
          <a:xfrm>
            <a:off x="10773597" y="215530"/>
            <a:ext cx="1425389" cy="957239"/>
            <a:chOff x="10094261" y="244105"/>
            <a:chExt cx="1425389" cy="957239"/>
          </a:xfrm>
        </xdr:grpSpPr>
        <xdr:pic>
          <xdr:nvPicPr>
            <xdr:cNvPr id="91" name="Picture 90">
              <a:extLst>
                <a:ext uri="{FF2B5EF4-FFF2-40B4-BE49-F238E27FC236}">
                  <a16:creationId xmlns:a16="http://schemas.microsoft.com/office/drawing/2014/main" id="{00000000-0008-0000-0300-00005B000000}"/>
                </a:ext>
                <a:ext uri="{147F2762-F138-4A5C-976F-8EAC2B608ADB}">
                  <a16:predDERef xmlns:a16="http://schemas.microsoft.com/office/drawing/2014/main" pred="{4BF98531-84AF-FD02-8989-724C2737A24A}"/>
                </a:ext>
              </a:extLst>
            </xdr:cNvPr>
            <xdr:cNvPicPr>
              <a:picLocks noChangeAspect="1"/>
            </xdr:cNvPicPr>
          </xdr:nvPicPr>
          <xdr:blipFill>
            <a:blip xmlns:r="http://schemas.openxmlformats.org/officeDocument/2006/relationships" r:embed="rId28"/>
            <a:stretch>
              <a:fillRect/>
            </a:stretch>
          </xdr:blipFill>
          <xdr:spPr>
            <a:xfrm>
              <a:off x="10548612" y="244105"/>
              <a:ext cx="458002" cy="608284"/>
            </a:xfrm>
            <a:prstGeom prst="rect">
              <a:avLst/>
            </a:prstGeom>
          </xdr:spPr>
        </xdr:pic>
        <xdr:sp macro="" textlink="">
          <xdr:nvSpPr>
            <xdr:cNvPr id="92" name="TextBox 91">
              <a:extLst>
                <a:ext uri="{FF2B5EF4-FFF2-40B4-BE49-F238E27FC236}">
                  <a16:creationId xmlns:a16="http://schemas.microsoft.com/office/drawing/2014/main" id="{00000000-0008-0000-0300-00005C000000}"/>
                </a:ext>
              </a:extLst>
            </xdr:cNvPr>
            <xdr:cNvSpPr txBox="1"/>
          </xdr:nvSpPr>
          <xdr:spPr>
            <a:xfrm>
              <a:off x="10094261" y="797789"/>
              <a:ext cx="1425389" cy="403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LOWER</a:t>
              </a:r>
            </a:p>
            <a:p>
              <a:pPr algn="ctr"/>
              <a:r>
                <a:rPr lang="en-US" sz="1000" b="0" baseline="0">
                  <a:latin typeface="72 Black" panose="020B0A04030603020204" pitchFamily="34" charset="0"/>
                  <a:cs typeface="72 Black" panose="020B0A04030603020204" pitchFamily="34" charset="0"/>
                </a:rPr>
                <a:t> CARBON POWER</a:t>
              </a:r>
              <a:endParaRPr lang="en-US" sz="1000" b="0">
                <a:latin typeface="72 Black" panose="020B0A04030603020204" pitchFamily="34" charset="0"/>
                <a:cs typeface="72 Black" panose="020B0A04030603020204" pitchFamily="34" charset="0"/>
              </a:endParaRPr>
            </a:p>
          </xdr:txBody>
        </xdr:sp>
      </xdr:grpSp>
      <xdr:sp macro="" textlink="">
        <xdr:nvSpPr>
          <xdr:cNvPr id="87" name="Rectangle: Rounded Corners 86">
            <a:extLst>
              <a:ext uri="{FF2B5EF4-FFF2-40B4-BE49-F238E27FC236}">
                <a16:creationId xmlns:a16="http://schemas.microsoft.com/office/drawing/2014/main" id="{00000000-0008-0000-0300-000057000000}"/>
              </a:ext>
            </a:extLst>
          </xdr:cNvPr>
          <xdr:cNvSpPr/>
        </xdr:nvSpPr>
        <xdr:spPr>
          <a:xfrm>
            <a:off x="4868141" y="64241"/>
            <a:ext cx="2230848" cy="1115483"/>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grpSp>
        <xdr:nvGrpSpPr>
          <xdr:cNvPr id="88" name="Group 87">
            <a:hlinkClick xmlns:r="http://schemas.openxmlformats.org/officeDocument/2006/relationships" r:id="rId29"/>
            <a:extLst>
              <a:ext uri="{FF2B5EF4-FFF2-40B4-BE49-F238E27FC236}">
                <a16:creationId xmlns:a16="http://schemas.microsoft.com/office/drawing/2014/main" id="{00000000-0008-0000-0300-000058000000}"/>
              </a:ext>
            </a:extLst>
          </xdr:cNvPr>
          <xdr:cNvGrpSpPr/>
        </xdr:nvGrpSpPr>
        <xdr:grpSpPr>
          <a:xfrm>
            <a:off x="1717819" y="429577"/>
            <a:ext cx="521114" cy="502920"/>
            <a:chOff x="1714500" y="434340"/>
            <a:chExt cx="521114" cy="502920"/>
          </a:xfrm>
        </xdr:grpSpPr>
        <xdr:pic>
          <xdr:nvPicPr>
            <xdr:cNvPr id="89" name="Picture 88">
              <a:extLst>
                <a:ext uri="{FF2B5EF4-FFF2-40B4-BE49-F238E27FC236}">
                  <a16:creationId xmlns:a16="http://schemas.microsoft.com/office/drawing/2014/main" id="{00000000-0008-0000-0300-000059000000}"/>
                </a:ext>
              </a:extLst>
            </xdr:cNvPr>
            <xdr:cNvPicPr>
              <a:picLocks noChangeAspect="1"/>
            </xdr:cNvPicPr>
          </xdr:nvPicPr>
          <xdr:blipFill>
            <a:blip xmlns:r="http://schemas.openxmlformats.org/officeDocument/2006/relationships" r:embed="rId30"/>
            <a:stretch>
              <a:fillRect/>
            </a:stretch>
          </xdr:blipFill>
          <xdr:spPr>
            <a:xfrm>
              <a:off x="1739946" y="434340"/>
              <a:ext cx="495668" cy="367536"/>
            </a:xfrm>
            <a:prstGeom prst="rect">
              <a:avLst/>
            </a:prstGeom>
          </xdr:spPr>
        </xdr:pic>
        <xdr:sp macro="" textlink="">
          <xdr:nvSpPr>
            <xdr:cNvPr id="90" name="TextBox 89">
              <a:extLst>
                <a:ext uri="{FF2B5EF4-FFF2-40B4-BE49-F238E27FC236}">
                  <a16:creationId xmlns:a16="http://schemas.microsoft.com/office/drawing/2014/main" id="{00000000-0008-0000-0300-00005A000000}"/>
                </a:ext>
              </a:extLst>
            </xdr:cNvPr>
            <xdr:cNvSpPr txBox="1"/>
          </xdr:nvSpPr>
          <xdr:spPr>
            <a:xfrm>
              <a:off x="1714500" y="762000"/>
              <a:ext cx="510540" cy="175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latin typeface="72 Black" panose="020B0A04030603020204" pitchFamily="34" charset="0"/>
                  <a:cs typeface="72 Black" panose="020B0A04030603020204" pitchFamily="34" charset="0"/>
                </a:rPr>
                <a:t>FAQ</a:t>
              </a: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336823</xdr:colOff>
      <xdr:row>0</xdr:row>
      <xdr:rowOff>1190625</xdr:rowOff>
    </xdr:to>
    <xdr:grpSp>
      <xdr:nvGrpSpPr>
        <xdr:cNvPr id="67" name="Group 66">
          <a:extLst>
            <a:ext uri="{FF2B5EF4-FFF2-40B4-BE49-F238E27FC236}">
              <a16:creationId xmlns:a16="http://schemas.microsoft.com/office/drawing/2014/main" id="{00000000-0008-0000-0400-000043000000}"/>
            </a:ext>
          </a:extLst>
        </xdr:cNvPr>
        <xdr:cNvGrpSpPr/>
      </xdr:nvGrpSpPr>
      <xdr:grpSpPr>
        <a:xfrm>
          <a:off x="0" y="0"/>
          <a:ext cx="11871598" cy="1190625"/>
          <a:chOff x="0" y="0"/>
          <a:chExt cx="12198986" cy="1190625"/>
        </a:xfrm>
      </xdr:grpSpPr>
      <xdr:sp macro="" textlink="">
        <xdr:nvSpPr>
          <xdr:cNvPr id="68" name="TextBox 67">
            <a:extLst>
              <a:ext uri="{FF2B5EF4-FFF2-40B4-BE49-F238E27FC236}">
                <a16:creationId xmlns:a16="http://schemas.microsoft.com/office/drawing/2014/main" id="{00000000-0008-0000-0400-000044000000}"/>
              </a:ext>
            </a:extLst>
          </xdr:cNvPr>
          <xdr:cNvSpPr txBox="1"/>
        </xdr:nvSpPr>
        <xdr:spPr>
          <a:xfrm>
            <a:off x="849027" y="17369"/>
            <a:ext cx="871625" cy="330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ABOUT</a:t>
            </a:r>
          </a:p>
        </xdr:txBody>
      </xdr:sp>
      <xdr:sp macro="" textlink="">
        <xdr:nvSpPr>
          <xdr:cNvPr id="69" name="TextBox 68">
            <a:extLst>
              <a:ext uri="{FF2B5EF4-FFF2-40B4-BE49-F238E27FC236}">
                <a16:creationId xmlns:a16="http://schemas.microsoft.com/office/drawing/2014/main" id="{00000000-0008-0000-0400-000045000000}"/>
              </a:ext>
            </a:extLst>
          </xdr:cNvPr>
          <xdr:cNvSpPr txBox="1"/>
        </xdr:nvSpPr>
        <xdr:spPr>
          <a:xfrm>
            <a:off x="4905072" y="0"/>
            <a:ext cx="1460728" cy="336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DASHBOARD</a:t>
            </a:r>
          </a:p>
        </xdr:txBody>
      </xdr:sp>
      <xdr:sp macro="" textlink="">
        <xdr:nvSpPr>
          <xdr:cNvPr id="70" name="TextBox 69">
            <a:extLst>
              <a:ext uri="{FF2B5EF4-FFF2-40B4-BE49-F238E27FC236}">
                <a16:creationId xmlns:a16="http://schemas.microsoft.com/office/drawing/2014/main" id="{00000000-0008-0000-0400-000046000000}"/>
              </a:ext>
            </a:extLst>
          </xdr:cNvPr>
          <xdr:cNvSpPr txBox="1"/>
        </xdr:nvSpPr>
        <xdr:spPr>
          <a:xfrm>
            <a:off x="7295787" y="9525"/>
            <a:ext cx="1640043" cy="336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CALCULATIONS</a:t>
            </a:r>
          </a:p>
        </xdr:txBody>
      </xdr:sp>
      <xdr:pic>
        <xdr:nvPicPr>
          <xdr:cNvPr id="71" name="Picture 70">
            <a:hlinkClick xmlns:r="http://schemas.openxmlformats.org/officeDocument/2006/relationships" r:id="rId1" tooltip="Education"/>
            <a:extLst>
              <a:ext uri="{FF2B5EF4-FFF2-40B4-BE49-F238E27FC236}">
                <a16:creationId xmlns:a16="http://schemas.microsoft.com/office/drawing/2014/main" id="{00000000-0008-0000-0400-00004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1034" y="300037"/>
            <a:ext cx="781668" cy="762000"/>
          </a:xfrm>
          <a:prstGeom prst="rect">
            <a:avLst/>
          </a:prstGeom>
          <a:ln>
            <a:noFill/>
          </a:ln>
        </xdr:spPr>
      </xdr:pic>
      <xdr:pic>
        <xdr:nvPicPr>
          <xdr:cNvPr id="72" name="Picture 71">
            <a:hlinkClick xmlns:r="http://schemas.openxmlformats.org/officeDocument/2006/relationships" r:id="rId3" tooltip="Terms &amp; Conditions"/>
            <a:extLst>
              <a:ext uri="{FF2B5EF4-FFF2-40B4-BE49-F238E27FC236}">
                <a16:creationId xmlns:a16="http://schemas.microsoft.com/office/drawing/2014/main" id="{00000000-0008-0000-0400-00004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75950" y="301561"/>
            <a:ext cx="779626" cy="758952"/>
          </a:xfrm>
          <a:prstGeom prst="rect">
            <a:avLst/>
          </a:prstGeom>
          <a:ln>
            <a:noFill/>
          </a:ln>
        </xdr:spPr>
      </xdr:pic>
      <xdr:pic>
        <xdr:nvPicPr>
          <xdr:cNvPr id="73" name="Picture 72">
            <a:hlinkClick xmlns:r="http://schemas.openxmlformats.org/officeDocument/2006/relationships" r:id="rId5" tooltip="User Guide"/>
            <a:extLst>
              <a:ext uri="{FF2B5EF4-FFF2-40B4-BE49-F238E27FC236}">
                <a16:creationId xmlns:a16="http://schemas.microsoft.com/office/drawing/2014/main" id="{00000000-0008-0000-0400-00004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92593" y="301561"/>
            <a:ext cx="779626" cy="758952"/>
          </a:xfrm>
          <a:prstGeom prst="rect">
            <a:avLst/>
          </a:prstGeom>
        </xdr:spPr>
      </xdr:pic>
      <xdr:pic>
        <xdr:nvPicPr>
          <xdr:cNvPr id="74" name="Picture 73">
            <a:hlinkClick xmlns:r="http://schemas.openxmlformats.org/officeDocument/2006/relationships" r:id="rId7" tooltip="Dashboard"/>
            <a:extLst>
              <a:ext uri="{FF2B5EF4-FFF2-40B4-BE49-F238E27FC236}">
                <a16:creationId xmlns:a16="http://schemas.microsoft.com/office/drawing/2014/main" id="{00000000-0008-0000-0400-00004A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924641" y="314325"/>
            <a:ext cx="779626" cy="758952"/>
          </a:xfrm>
          <a:prstGeom prst="rect">
            <a:avLst/>
          </a:prstGeom>
        </xdr:spPr>
      </xdr:pic>
      <xdr:pic>
        <xdr:nvPicPr>
          <xdr:cNvPr id="75" name="Picture 74">
            <a:hlinkClick xmlns:r="http://schemas.openxmlformats.org/officeDocument/2006/relationships" r:id="rId9" tooltip="Factors"/>
            <a:extLst>
              <a:ext uri="{FF2B5EF4-FFF2-40B4-BE49-F238E27FC236}">
                <a16:creationId xmlns:a16="http://schemas.microsoft.com/office/drawing/2014/main" id="{00000000-0008-0000-0400-00004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323820" y="314325"/>
            <a:ext cx="779626" cy="758952"/>
          </a:xfrm>
          <a:prstGeom prst="rect">
            <a:avLst/>
          </a:prstGeom>
        </xdr:spPr>
      </xdr:pic>
      <xdr:pic>
        <xdr:nvPicPr>
          <xdr:cNvPr id="76" name="Picture 75">
            <a:hlinkClick xmlns:r="http://schemas.openxmlformats.org/officeDocument/2006/relationships" r:id="rId11" tooltip="Alternative Calculations"/>
            <a:extLst>
              <a:ext uri="{FF2B5EF4-FFF2-40B4-BE49-F238E27FC236}">
                <a16:creationId xmlns:a16="http://schemas.microsoft.com/office/drawing/2014/main" id="{00000000-0008-0000-0400-00004C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678045" y="314325"/>
            <a:ext cx="779626" cy="758952"/>
          </a:xfrm>
          <a:prstGeom prst="rect">
            <a:avLst/>
          </a:prstGeom>
        </xdr:spPr>
      </xdr:pic>
      <xdr:pic>
        <xdr:nvPicPr>
          <xdr:cNvPr id="77" name="Picture 76">
            <a:hlinkClick xmlns:r="http://schemas.openxmlformats.org/officeDocument/2006/relationships" r:id="rId13" tooltip="Abbreviations"/>
            <a:extLst>
              <a:ext uri="{FF2B5EF4-FFF2-40B4-BE49-F238E27FC236}">
                <a16:creationId xmlns:a16="http://schemas.microsoft.com/office/drawing/2014/main" id="{00000000-0008-0000-0400-00004D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909237" y="301561"/>
            <a:ext cx="783981" cy="758952"/>
          </a:xfrm>
          <a:prstGeom prst="rect">
            <a:avLst/>
          </a:prstGeom>
        </xdr:spPr>
      </xdr:pic>
      <xdr:pic>
        <xdr:nvPicPr>
          <xdr:cNvPr id="78" name="Picture 77">
            <a:hlinkClick xmlns:r="http://schemas.openxmlformats.org/officeDocument/2006/relationships" r:id="rId15" tooltip="Oil and Refined Products"/>
            <a:extLst>
              <a:ext uri="{FF2B5EF4-FFF2-40B4-BE49-F238E27FC236}">
                <a16:creationId xmlns:a16="http://schemas.microsoft.com/office/drawing/2014/main" id="{00000000-0008-0000-0400-00004E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256651" y="304800"/>
            <a:ext cx="779626" cy="758952"/>
          </a:xfrm>
          <a:prstGeom prst="rect">
            <a:avLst/>
          </a:prstGeom>
        </xdr:spPr>
      </xdr:pic>
      <xdr:sp macro="" textlink="">
        <xdr:nvSpPr>
          <xdr:cNvPr id="79" name="Rectangle: Rounded Corners 78">
            <a:extLst>
              <a:ext uri="{FF2B5EF4-FFF2-40B4-BE49-F238E27FC236}">
                <a16:creationId xmlns:a16="http://schemas.microsoft.com/office/drawing/2014/main" id="{00000000-0008-0000-0400-00004F000000}"/>
              </a:ext>
            </a:extLst>
          </xdr:cNvPr>
          <xdr:cNvSpPr/>
        </xdr:nvSpPr>
        <xdr:spPr>
          <a:xfrm>
            <a:off x="831680" y="57150"/>
            <a:ext cx="3885100" cy="11334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sp macro="" textlink="">
        <xdr:nvSpPr>
          <xdr:cNvPr id="80" name="Rectangle: Rounded Corners 79">
            <a:extLst>
              <a:ext uri="{FF2B5EF4-FFF2-40B4-BE49-F238E27FC236}">
                <a16:creationId xmlns:a16="http://schemas.microsoft.com/office/drawing/2014/main" id="{00000000-0008-0000-0400-000050000000}"/>
              </a:ext>
            </a:extLst>
          </xdr:cNvPr>
          <xdr:cNvSpPr/>
        </xdr:nvSpPr>
        <xdr:spPr>
          <a:xfrm>
            <a:off x="7237082" y="47625"/>
            <a:ext cx="4881220" cy="11334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pic>
        <xdr:nvPicPr>
          <xdr:cNvPr id="81" name="Picture 80">
            <a:hlinkClick xmlns:r="http://schemas.openxmlformats.org/officeDocument/2006/relationships" r:id="rId17" tooltip="Home"/>
            <a:extLst>
              <a:ext uri="{FF2B5EF4-FFF2-40B4-BE49-F238E27FC236}">
                <a16:creationId xmlns:a16="http://schemas.microsoft.com/office/drawing/2014/main" id="{00000000-0008-0000-0400-000051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0" y="323850"/>
            <a:ext cx="779626" cy="758952"/>
          </a:xfrm>
          <a:prstGeom prst="rect">
            <a:avLst/>
          </a:prstGeom>
        </xdr:spPr>
      </xdr:pic>
      <xdr:grpSp>
        <xdr:nvGrpSpPr>
          <xdr:cNvPr id="82" name="Group 81">
            <a:extLst>
              <a:ext uri="{FF2B5EF4-FFF2-40B4-BE49-F238E27FC236}">
                <a16:creationId xmlns:a16="http://schemas.microsoft.com/office/drawing/2014/main" id="{00000000-0008-0000-0400-000052000000}"/>
              </a:ext>
            </a:extLst>
          </xdr:cNvPr>
          <xdr:cNvGrpSpPr/>
        </xdr:nvGrpSpPr>
        <xdr:grpSpPr>
          <a:xfrm>
            <a:off x="8739731" y="304801"/>
            <a:ext cx="779626" cy="652742"/>
            <a:chOff x="8739731" y="304801"/>
            <a:chExt cx="779626" cy="652742"/>
          </a:xfrm>
        </xdr:grpSpPr>
        <xdr:pic>
          <xdr:nvPicPr>
            <xdr:cNvPr id="99" name="Picture 98">
              <a:hlinkClick xmlns:r="http://schemas.openxmlformats.org/officeDocument/2006/relationships" r:id="rId19" tooltip="Gas &amp; LNG"/>
              <a:extLst>
                <a:ext uri="{FF2B5EF4-FFF2-40B4-BE49-F238E27FC236}">
                  <a16:creationId xmlns:a16="http://schemas.microsoft.com/office/drawing/2014/main" id="{00000000-0008-0000-0400-000063000000}"/>
                </a:ext>
              </a:extLst>
            </xdr:cNvPr>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b="32893"/>
            <a:stretch/>
          </xdr:blipFill>
          <xdr:spPr>
            <a:xfrm>
              <a:off x="8739731" y="304801"/>
              <a:ext cx="779626" cy="509306"/>
            </a:xfrm>
            <a:prstGeom prst="rect">
              <a:avLst/>
            </a:prstGeom>
          </xdr:spPr>
        </xdr:pic>
        <xdr:sp macro="" textlink="">
          <xdr:nvSpPr>
            <xdr:cNvPr id="100" name="TextBox 99">
              <a:extLst>
                <a:ext uri="{FF2B5EF4-FFF2-40B4-BE49-F238E27FC236}">
                  <a16:creationId xmlns:a16="http://schemas.microsoft.com/office/drawing/2014/main" id="{00000000-0008-0000-0400-000064000000}"/>
                </a:ext>
              </a:extLst>
            </xdr:cNvPr>
            <xdr:cNvSpPr txBox="1"/>
          </xdr:nvSpPr>
          <xdr:spPr>
            <a:xfrm>
              <a:off x="8846184" y="769283"/>
              <a:ext cx="537883" cy="18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NGLs</a:t>
              </a:r>
            </a:p>
          </xdr:txBody>
        </xdr:sp>
      </xdr:grpSp>
      <xdr:grpSp>
        <xdr:nvGrpSpPr>
          <xdr:cNvPr id="83" name="Group 82">
            <a:hlinkClick xmlns:r="http://schemas.openxmlformats.org/officeDocument/2006/relationships" r:id="rId21"/>
            <a:extLst>
              <a:ext uri="{FF2B5EF4-FFF2-40B4-BE49-F238E27FC236}">
                <a16:creationId xmlns:a16="http://schemas.microsoft.com/office/drawing/2014/main" id="{00000000-0008-0000-0400-000053000000}"/>
              </a:ext>
            </a:extLst>
          </xdr:cNvPr>
          <xdr:cNvGrpSpPr/>
        </xdr:nvGrpSpPr>
        <xdr:grpSpPr>
          <a:xfrm>
            <a:off x="7963288" y="399140"/>
            <a:ext cx="936684" cy="558403"/>
            <a:chOff x="7252446" y="427715"/>
            <a:chExt cx="932330" cy="558403"/>
          </a:xfrm>
        </xdr:grpSpPr>
        <xdr:pic>
          <xdr:nvPicPr>
            <xdr:cNvPr id="97" name="Picture 96">
              <a:extLst>
                <a:ext uri="{FF2B5EF4-FFF2-40B4-BE49-F238E27FC236}">
                  <a16:creationId xmlns:a16="http://schemas.microsoft.com/office/drawing/2014/main" id="{00000000-0008-0000-0400-000061000000}"/>
                </a:ext>
                <a:ext uri="{147F2762-F138-4A5C-976F-8EAC2B608ADB}">
                  <a16:predDERef xmlns:a16="http://schemas.microsoft.com/office/drawing/2014/main" pred="{EF1B35E2-6469-5D85-6D58-31B6837836BF}"/>
                </a:ext>
              </a:extLst>
            </xdr:cNvPr>
            <xdr:cNvPicPr>
              <a:picLocks noChangeAspect="1"/>
            </xdr:cNvPicPr>
          </xdr:nvPicPr>
          <xdr:blipFill>
            <a:blip xmlns:r="http://schemas.openxmlformats.org/officeDocument/2006/relationships" r:embed="rId22"/>
            <a:stretch>
              <a:fillRect/>
            </a:stretch>
          </xdr:blipFill>
          <xdr:spPr>
            <a:xfrm>
              <a:off x="7404131" y="427715"/>
              <a:ext cx="582522" cy="453422"/>
            </a:xfrm>
            <a:prstGeom prst="rect">
              <a:avLst/>
            </a:prstGeom>
          </xdr:spPr>
        </xdr:pic>
        <xdr:sp macro="" textlink="">
          <xdr:nvSpPr>
            <xdr:cNvPr id="98" name="TextBox 97">
              <a:extLst>
                <a:ext uri="{FF2B5EF4-FFF2-40B4-BE49-F238E27FC236}">
                  <a16:creationId xmlns:a16="http://schemas.microsoft.com/office/drawing/2014/main" id="{00000000-0008-0000-0400-000062000000}"/>
                </a:ext>
              </a:extLst>
            </xdr:cNvPr>
            <xdr:cNvSpPr txBox="1"/>
          </xdr:nvSpPr>
          <xdr:spPr>
            <a:xfrm>
              <a:off x="7252446" y="815785"/>
              <a:ext cx="932330" cy="17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b="0">
                  <a:latin typeface="72 Black" panose="020B0A04030603020204" pitchFamily="34" charset="0"/>
                  <a:cs typeface="72 Black" panose="020B0A04030603020204" pitchFamily="34" charset="0"/>
                </a:rPr>
                <a:t>GAS</a:t>
              </a:r>
              <a:r>
                <a:rPr lang="en-US" sz="900" b="0" baseline="0">
                  <a:latin typeface="72 Black" panose="020B0A04030603020204" pitchFamily="34" charset="0"/>
                  <a:cs typeface="72 Black" panose="020B0A04030603020204" pitchFamily="34" charset="0"/>
                </a:rPr>
                <a:t> &amp; LNG</a:t>
              </a:r>
              <a:endParaRPr lang="en-US" sz="900" b="0">
                <a:latin typeface="72 Black" panose="020B0A04030603020204" pitchFamily="34" charset="0"/>
                <a:cs typeface="72 Black" panose="020B0A04030603020204" pitchFamily="34" charset="0"/>
              </a:endParaRPr>
            </a:p>
          </xdr:txBody>
        </xdr:sp>
      </xdr:grpSp>
      <xdr:grpSp>
        <xdr:nvGrpSpPr>
          <xdr:cNvPr id="84" name="Group 83">
            <a:hlinkClick xmlns:r="http://schemas.openxmlformats.org/officeDocument/2006/relationships" r:id="rId23"/>
            <a:extLst>
              <a:ext uri="{FF2B5EF4-FFF2-40B4-BE49-F238E27FC236}">
                <a16:creationId xmlns:a16="http://schemas.microsoft.com/office/drawing/2014/main" id="{00000000-0008-0000-0400-000054000000}"/>
              </a:ext>
            </a:extLst>
          </xdr:cNvPr>
          <xdr:cNvGrpSpPr/>
        </xdr:nvGrpSpPr>
        <xdr:grpSpPr>
          <a:xfrm>
            <a:off x="10117854" y="449143"/>
            <a:ext cx="952892" cy="517367"/>
            <a:chOff x="9402658" y="477718"/>
            <a:chExt cx="952892" cy="517367"/>
          </a:xfrm>
        </xdr:grpSpPr>
        <xdr:pic>
          <xdr:nvPicPr>
            <xdr:cNvPr id="95" name="Picture 94">
              <a:extLst>
                <a:ext uri="{FF2B5EF4-FFF2-40B4-BE49-F238E27FC236}">
                  <a16:creationId xmlns:a16="http://schemas.microsoft.com/office/drawing/2014/main" id="{00000000-0008-0000-0400-00005F000000}"/>
                </a:ext>
              </a:extLst>
            </xdr:cNvPr>
            <xdr:cNvPicPr>
              <a:picLocks noChangeAspect="1"/>
            </xdr:cNvPicPr>
          </xdr:nvPicPr>
          <xdr:blipFill>
            <a:blip xmlns:r="http://schemas.openxmlformats.org/officeDocument/2006/relationships" r:embed="rId24"/>
            <a:stretch>
              <a:fillRect/>
            </a:stretch>
          </xdr:blipFill>
          <xdr:spPr>
            <a:xfrm>
              <a:off x="9525454" y="477718"/>
              <a:ext cx="679846" cy="340639"/>
            </a:xfrm>
            <a:prstGeom prst="rect">
              <a:avLst/>
            </a:prstGeom>
          </xdr:spPr>
        </xdr:pic>
        <xdr:sp macro="" textlink="">
          <xdr:nvSpPr>
            <xdr:cNvPr id="96" name="TextBox 95">
              <a:extLst>
                <a:ext uri="{FF2B5EF4-FFF2-40B4-BE49-F238E27FC236}">
                  <a16:creationId xmlns:a16="http://schemas.microsoft.com/office/drawing/2014/main" id="{00000000-0008-0000-0400-000060000000}"/>
                </a:ext>
              </a:extLst>
            </xdr:cNvPr>
            <xdr:cNvSpPr txBox="1"/>
          </xdr:nvSpPr>
          <xdr:spPr>
            <a:xfrm>
              <a:off x="9402658" y="806825"/>
              <a:ext cx="952892" cy="18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HYDROGEN</a:t>
              </a:r>
            </a:p>
          </xdr:txBody>
        </xdr:sp>
      </xdr:grpSp>
      <xdr:grpSp>
        <xdr:nvGrpSpPr>
          <xdr:cNvPr id="85" name="Group 84">
            <a:hlinkClick xmlns:r="http://schemas.openxmlformats.org/officeDocument/2006/relationships" r:id="rId25"/>
            <a:extLst>
              <a:ext uri="{FF2B5EF4-FFF2-40B4-BE49-F238E27FC236}">
                <a16:creationId xmlns:a16="http://schemas.microsoft.com/office/drawing/2014/main" id="{00000000-0008-0000-0400-000055000000}"/>
              </a:ext>
            </a:extLst>
          </xdr:cNvPr>
          <xdr:cNvGrpSpPr/>
        </xdr:nvGrpSpPr>
        <xdr:grpSpPr>
          <a:xfrm>
            <a:off x="9340366" y="249331"/>
            <a:ext cx="841559" cy="690282"/>
            <a:chOff x="8625170" y="277906"/>
            <a:chExt cx="841559" cy="690282"/>
          </a:xfrm>
        </xdr:grpSpPr>
        <xdr:pic>
          <xdr:nvPicPr>
            <xdr:cNvPr id="93" name="Picture 92">
              <a:extLst>
                <a:ext uri="{FF2B5EF4-FFF2-40B4-BE49-F238E27FC236}">
                  <a16:creationId xmlns:a16="http://schemas.microsoft.com/office/drawing/2014/main" id="{00000000-0008-0000-0400-00005D000000}"/>
                </a:ext>
                <a:ext uri="{147F2762-F138-4A5C-976F-8EAC2B608ADB}">
                  <a16:predDERef xmlns:a16="http://schemas.microsoft.com/office/drawing/2014/main" pred="{C3724981-7622-998F-1DE2-D8A1EDB791C5}"/>
                </a:ext>
              </a:extLst>
            </xdr:cNvPr>
            <xdr:cNvPicPr>
              <a:picLocks noChangeAspect="1"/>
            </xdr:cNvPicPr>
          </xdr:nvPicPr>
          <xdr:blipFill>
            <a:blip xmlns:r="http://schemas.openxmlformats.org/officeDocument/2006/relationships" r:embed="rId26"/>
            <a:stretch>
              <a:fillRect/>
            </a:stretch>
          </xdr:blipFill>
          <xdr:spPr>
            <a:xfrm>
              <a:off x="8686800" y="277906"/>
              <a:ext cx="685800" cy="577215"/>
            </a:xfrm>
            <a:prstGeom prst="rect">
              <a:avLst/>
            </a:prstGeom>
          </xdr:spPr>
        </xdr:pic>
        <xdr:sp macro="" textlink="">
          <xdr:nvSpPr>
            <xdr:cNvPr id="94" name="TextBox 93">
              <a:extLst>
                <a:ext uri="{FF2B5EF4-FFF2-40B4-BE49-F238E27FC236}">
                  <a16:creationId xmlns:a16="http://schemas.microsoft.com/office/drawing/2014/main" id="{00000000-0008-0000-0400-00005E000000}"/>
                </a:ext>
              </a:extLst>
            </xdr:cNvPr>
            <xdr:cNvSpPr txBox="1"/>
          </xdr:nvSpPr>
          <xdr:spPr>
            <a:xfrm>
              <a:off x="8625170" y="808505"/>
              <a:ext cx="841559"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BIOFUELS</a:t>
              </a:r>
            </a:p>
          </xdr:txBody>
        </xdr:sp>
      </xdr:grpSp>
      <xdr:grpSp>
        <xdr:nvGrpSpPr>
          <xdr:cNvPr id="86" name="Group 85">
            <a:hlinkClick xmlns:r="http://schemas.openxmlformats.org/officeDocument/2006/relationships" r:id="rId27"/>
            <a:extLst>
              <a:ext uri="{FF2B5EF4-FFF2-40B4-BE49-F238E27FC236}">
                <a16:creationId xmlns:a16="http://schemas.microsoft.com/office/drawing/2014/main" id="{00000000-0008-0000-0400-000056000000}"/>
              </a:ext>
            </a:extLst>
          </xdr:cNvPr>
          <xdr:cNvGrpSpPr/>
        </xdr:nvGrpSpPr>
        <xdr:grpSpPr>
          <a:xfrm>
            <a:off x="10773597" y="215530"/>
            <a:ext cx="1425389" cy="957239"/>
            <a:chOff x="10094261" y="244105"/>
            <a:chExt cx="1425389" cy="957239"/>
          </a:xfrm>
        </xdr:grpSpPr>
        <xdr:pic>
          <xdr:nvPicPr>
            <xdr:cNvPr id="91" name="Picture 90">
              <a:extLst>
                <a:ext uri="{FF2B5EF4-FFF2-40B4-BE49-F238E27FC236}">
                  <a16:creationId xmlns:a16="http://schemas.microsoft.com/office/drawing/2014/main" id="{00000000-0008-0000-0400-00005B000000}"/>
                </a:ext>
                <a:ext uri="{147F2762-F138-4A5C-976F-8EAC2B608ADB}">
                  <a16:predDERef xmlns:a16="http://schemas.microsoft.com/office/drawing/2014/main" pred="{4BF98531-84AF-FD02-8989-724C2737A24A}"/>
                </a:ext>
              </a:extLst>
            </xdr:cNvPr>
            <xdr:cNvPicPr>
              <a:picLocks noChangeAspect="1"/>
            </xdr:cNvPicPr>
          </xdr:nvPicPr>
          <xdr:blipFill>
            <a:blip xmlns:r="http://schemas.openxmlformats.org/officeDocument/2006/relationships" r:embed="rId28"/>
            <a:stretch>
              <a:fillRect/>
            </a:stretch>
          </xdr:blipFill>
          <xdr:spPr>
            <a:xfrm>
              <a:off x="10548612" y="244105"/>
              <a:ext cx="458002" cy="608284"/>
            </a:xfrm>
            <a:prstGeom prst="rect">
              <a:avLst/>
            </a:prstGeom>
          </xdr:spPr>
        </xdr:pic>
        <xdr:sp macro="" textlink="">
          <xdr:nvSpPr>
            <xdr:cNvPr id="92" name="TextBox 91">
              <a:extLst>
                <a:ext uri="{FF2B5EF4-FFF2-40B4-BE49-F238E27FC236}">
                  <a16:creationId xmlns:a16="http://schemas.microsoft.com/office/drawing/2014/main" id="{00000000-0008-0000-0400-00005C000000}"/>
                </a:ext>
              </a:extLst>
            </xdr:cNvPr>
            <xdr:cNvSpPr txBox="1"/>
          </xdr:nvSpPr>
          <xdr:spPr>
            <a:xfrm>
              <a:off x="10094261" y="797789"/>
              <a:ext cx="1425389" cy="403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LOWER</a:t>
              </a:r>
            </a:p>
            <a:p>
              <a:pPr algn="ctr"/>
              <a:r>
                <a:rPr lang="en-US" sz="1000" b="0" baseline="0">
                  <a:latin typeface="72 Black" panose="020B0A04030603020204" pitchFamily="34" charset="0"/>
                  <a:cs typeface="72 Black" panose="020B0A04030603020204" pitchFamily="34" charset="0"/>
                </a:rPr>
                <a:t> CARBON POWER</a:t>
              </a:r>
              <a:endParaRPr lang="en-US" sz="1000" b="0">
                <a:latin typeface="72 Black" panose="020B0A04030603020204" pitchFamily="34" charset="0"/>
                <a:cs typeface="72 Black" panose="020B0A04030603020204" pitchFamily="34" charset="0"/>
              </a:endParaRPr>
            </a:p>
          </xdr:txBody>
        </xdr:sp>
      </xdr:grpSp>
      <xdr:sp macro="" textlink="">
        <xdr:nvSpPr>
          <xdr:cNvPr id="87" name="Rectangle: Rounded Corners 86">
            <a:extLst>
              <a:ext uri="{FF2B5EF4-FFF2-40B4-BE49-F238E27FC236}">
                <a16:creationId xmlns:a16="http://schemas.microsoft.com/office/drawing/2014/main" id="{00000000-0008-0000-0400-000057000000}"/>
              </a:ext>
            </a:extLst>
          </xdr:cNvPr>
          <xdr:cNvSpPr/>
        </xdr:nvSpPr>
        <xdr:spPr>
          <a:xfrm>
            <a:off x="4868141" y="64241"/>
            <a:ext cx="2230848" cy="1115483"/>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grpSp>
        <xdr:nvGrpSpPr>
          <xdr:cNvPr id="88" name="Group 87">
            <a:hlinkClick xmlns:r="http://schemas.openxmlformats.org/officeDocument/2006/relationships" r:id="rId29"/>
            <a:extLst>
              <a:ext uri="{FF2B5EF4-FFF2-40B4-BE49-F238E27FC236}">
                <a16:creationId xmlns:a16="http://schemas.microsoft.com/office/drawing/2014/main" id="{00000000-0008-0000-0400-000058000000}"/>
              </a:ext>
            </a:extLst>
          </xdr:cNvPr>
          <xdr:cNvGrpSpPr/>
        </xdr:nvGrpSpPr>
        <xdr:grpSpPr>
          <a:xfrm>
            <a:off x="1717819" y="429577"/>
            <a:ext cx="521114" cy="502920"/>
            <a:chOff x="1714500" y="434340"/>
            <a:chExt cx="521114" cy="502920"/>
          </a:xfrm>
        </xdr:grpSpPr>
        <xdr:pic>
          <xdr:nvPicPr>
            <xdr:cNvPr id="89" name="Picture 88">
              <a:extLst>
                <a:ext uri="{FF2B5EF4-FFF2-40B4-BE49-F238E27FC236}">
                  <a16:creationId xmlns:a16="http://schemas.microsoft.com/office/drawing/2014/main" id="{00000000-0008-0000-0400-000059000000}"/>
                </a:ext>
              </a:extLst>
            </xdr:cNvPr>
            <xdr:cNvPicPr>
              <a:picLocks noChangeAspect="1"/>
            </xdr:cNvPicPr>
          </xdr:nvPicPr>
          <xdr:blipFill>
            <a:blip xmlns:r="http://schemas.openxmlformats.org/officeDocument/2006/relationships" r:embed="rId30"/>
            <a:stretch>
              <a:fillRect/>
            </a:stretch>
          </xdr:blipFill>
          <xdr:spPr>
            <a:xfrm>
              <a:off x="1739946" y="434340"/>
              <a:ext cx="495668" cy="367536"/>
            </a:xfrm>
            <a:prstGeom prst="rect">
              <a:avLst/>
            </a:prstGeom>
          </xdr:spPr>
        </xdr:pic>
        <xdr:sp macro="" textlink="">
          <xdr:nvSpPr>
            <xdr:cNvPr id="90" name="TextBox 89">
              <a:extLst>
                <a:ext uri="{FF2B5EF4-FFF2-40B4-BE49-F238E27FC236}">
                  <a16:creationId xmlns:a16="http://schemas.microsoft.com/office/drawing/2014/main" id="{00000000-0008-0000-0400-00005A000000}"/>
                </a:ext>
              </a:extLst>
            </xdr:cNvPr>
            <xdr:cNvSpPr txBox="1"/>
          </xdr:nvSpPr>
          <xdr:spPr>
            <a:xfrm>
              <a:off x="1714500" y="762000"/>
              <a:ext cx="510540" cy="175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latin typeface="72 Black" panose="020B0A04030603020204" pitchFamily="34" charset="0"/>
                  <a:cs typeface="72 Black" panose="020B0A04030603020204" pitchFamily="34" charset="0"/>
                </a:rPr>
                <a:t>FAQ</a:t>
              </a: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1096495</xdr:colOff>
      <xdr:row>7</xdr:row>
      <xdr:rowOff>196801</xdr:rowOff>
    </xdr:from>
    <xdr:to>
      <xdr:col>17</xdr:col>
      <xdr:colOff>303119</xdr:colOff>
      <xdr:row>23</xdr:row>
      <xdr:rowOff>125365</xdr:rowOff>
    </xdr:to>
    <xdr:graphicFrame macro="">
      <xdr:nvGraphicFramePr>
        <xdr:cNvPr id="25617" name="Chart 1">
          <a:extLst>
            <a:ext uri="{FF2B5EF4-FFF2-40B4-BE49-F238E27FC236}">
              <a16:creationId xmlns:a16="http://schemas.microsoft.com/office/drawing/2014/main" id="{00000000-0008-0000-0500-000011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552451</xdr:colOff>
      <xdr:row>6</xdr:row>
      <xdr:rowOff>12700</xdr:rowOff>
    </xdr:from>
    <xdr:to>
      <xdr:col>4</xdr:col>
      <xdr:colOff>25400</xdr:colOff>
      <xdr:row>40</xdr:row>
      <xdr:rowOff>9525</xdr:rowOff>
    </xdr:to>
    <xdr:sp macro="" textlink="">
      <xdr:nvSpPr>
        <xdr:cNvPr id="3" name="Rectangle: Rounded Corners 6">
          <a:extLst>
            <a:ext uri="{FF2B5EF4-FFF2-40B4-BE49-F238E27FC236}">
              <a16:creationId xmlns:a16="http://schemas.microsoft.com/office/drawing/2014/main" id="{00000000-0008-0000-0500-000003000000}"/>
            </a:ext>
          </a:extLst>
        </xdr:cNvPr>
        <xdr:cNvSpPr/>
      </xdr:nvSpPr>
      <xdr:spPr>
        <a:xfrm>
          <a:off x="552451" y="1811020"/>
          <a:ext cx="5629909" cy="7517765"/>
        </a:xfrm>
        <a:prstGeom prst="roundRect">
          <a:avLst>
            <a:gd name="adj" fmla="val 1461"/>
          </a:avLst>
        </a:prstGeom>
        <a:noFill/>
        <a:ln w="73025">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7</xdr:row>
      <xdr:rowOff>159543</xdr:rowOff>
    </xdr:from>
    <xdr:to>
      <xdr:col>17</xdr:col>
      <xdr:colOff>123825</xdr:colOff>
      <xdr:row>19</xdr:row>
      <xdr:rowOff>209549</xdr:rowOff>
    </xdr:to>
    <xdr:graphicFrame macro="">
      <xdr:nvGraphicFramePr>
        <xdr:cNvPr id="25618" name="Chart 2">
          <a:extLst>
            <a:ext uri="{FF2B5EF4-FFF2-40B4-BE49-F238E27FC236}">
              <a16:creationId xmlns:a16="http://schemas.microsoft.com/office/drawing/2014/main" id="{00000000-0008-0000-0500-000012640000}"/>
            </a:ext>
            <a:ext uri="{147F2762-F138-4A5C-976F-8EAC2B608ADB}">
              <a16:predDERef xmlns:a16="http://schemas.microsoft.com/office/drawing/2014/main" pred="{00000000-0008-0000-0800-000011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3558009</xdr:colOff>
      <xdr:row>7</xdr:row>
      <xdr:rowOff>13229</xdr:rowOff>
    </xdr:from>
    <xdr:to>
      <xdr:col>2</xdr:col>
      <xdr:colOff>678617</xdr:colOff>
      <xdr:row>39</xdr:row>
      <xdr:rowOff>211231</xdr:rowOff>
    </xdr:to>
    <xdr:sp macro="" textlink="">
      <xdr:nvSpPr>
        <xdr:cNvPr id="25612" name="Rectangle: Rounded Corners 7">
          <a:extLst>
            <a:ext uri="{FF2B5EF4-FFF2-40B4-BE49-F238E27FC236}">
              <a16:creationId xmlns:a16="http://schemas.microsoft.com/office/drawing/2014/main" id="{00000000-0008-0000-0500-00000C640000}"/>
            </a:ext>
          </a:extLst>
        </xdr:cNvPr>
        <xdr:cNvSpPr/>
      </xdr:nvSpPr>
      <xdr:spPr>
        <a:xfrm>
          <a:off x="4120249" y="2811198"/>
          <a:ext cx="851233" cy="7209460"/>
        </a:xfrm>
        <a:prstGeom prst="roundRect">
          <a:avLst>
            <a:gd name="adj" fmla="val 6589"/>
          </a:avLst>
        </a:prstGeom>
        <a:noFill/>
        <a:ln w="79375">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380999</xdr:colOff>
      <xdr:row>23</xdr:row>
      <xdr:rowOff>214033</xdr:rowOff>
    </xdr:from>
    <xdr:to>
      <xdr:col>14</xdr:col>
      <xdr:colOff>133350</xdr:colOff>
      <xdr:row>36</xdr:row>
      <xdr:rowOff>104215</xdr:rowOff>
    </xdr:to>
    <xdr:graphicFrame macro="">
      <xdr:nvGraphicFramePr>
        <xdr:cNvPr id="9" name="Chart 8">
          <a:extLst>
            <a:ext uri="{FF2B5EF4-FFF2-40B4-BE49-F238E27FC236}">
              <a16:creationId xmlns:a16="http://schemas.microsoft.com/office/drawing/2014/main" id="{00000000-0008-0000-0500-000009000000}"/>
            </a:ext>
            <a:ext uri="{147F2762-F138-4A5C-976F-8EAC2B608ADB}">
              <a16:predDERef xmlns:a16="http://schemas.microsoft.com/office/drawing/2014/main" pred="{00000000-0008-0000-0800-00000C64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xdr:col>
      <xdr:colOff>171451</xdr:colOff>
      <xdr:row>12</xdr:row>
      <xdr:rowOff>47626</xdr:rowOff>
    </xdr:from>
    <xdr:to>
      <xdr:col>4</xdr:col>
      <xdr:colOff>377190</xdr:colOff>
      <xdr:row>13</xdr:row>
      <xdr:rowOff>35558</xdr:rowOff>
    </xdr:to>
    <xdr:pic>
      <xdr:nvPicPr>
        <xdr:cNvPr id="12" name="Picture 11" descr="Pin on IG ICON IDEAS">
          <a:hlinkClick xmlns:r="http://schemas.openxmlformats.org/officeDocument/2006/relationships" r:id="rId4"/>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829301" y="2238376"/>
          <a:ext cx="180974" cy="180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171450</xdr:colOff>
      <xdr:row>13</xdr:row>
      <xdr:rowOff>57150</xdr:rowOff>
    </xdr:from>
    <xdr:to>
      <xdr:col>4</xdr:col>
      <xdr:colOff>378459</xdr:colOff>
      <xdr:row>14</xdr:row>
      <xdr:rowOff>35559</xdr:rowOff>
    </xdr:to>
    <xdr:pic>
      <xdr:nvPicPr>
        <xdr:cNvPr id="13" name="Picture 12" descr="Pin on IG ICON IDEAS">
          <a:hlinkClick xmlns:r="http://schemas.openxmlformats.org/officeDocument/2006/relationships" r:id="rId6"/>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829300" y="2466975"/>
          <a:ext cx="180974" cy="180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171450</xdr:colOff>
      <xdr:row>14</xdr:row>
      <xdr:rowOff>57150</xdr:rowOff>
    </xdr:from>
    <xdr:to>
      <xdr:col>4</xdr:col>
      <xdr:colOff>378459</xdr:colOff>
      <xdr:row>15</xdr:row>
      <xdr:rowOff>34290</xdr:rowOff>
    </xdr:to>
    <xdr:pic>
      <xdr:nvPicPr>
        <xdr:cNvPr id="14" name="Picture 13" descr="Pin on IG ICON IDEAS">
          <a:hlinkClick xmlns:r="http://schemas.openxmlformats.org/officeDocument/2006/relationships" r:id="rId7"/>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829300" y="2686050"/>
          <a:ext cx="180974" cy="180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180975</xdr:colOff>
      <xdr:row>15</xdr:row>
      <xdr:rowOff>57150</xdr:rowOff>
    </xdr:from>
    <xdr:to>
      <xdr:col>4</xdr:col>
      <xdr:colOff>378459</xdr:colOff>
      <xdr:row>16</xdr:row>
      <xdr:rowOff>35557</xdr:rowOff>
    </xdr:to>
    <xdr:pic>
      <xdr:nvPicPr>
        <xdr:cNvPr id="15" name="Picture 14" descr="Pin on IG ICON IDEAS">
          <a:hlinkClick xmlns:r="http://schemas.openxmlformats.org/officeDocument/2006/relationships" r:id="rId8"/>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838825" y="2905125"/>
          <a:ext cx="180974" cy="180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190500</xdr:colOff>
      <xdr:row>16</xdr:row>
      <xdr:rowOff>57150</xdr:rowOff>
    </xdr:from>
    <xdr:to>
      <xdr:col>4</xdr:col>
      <xdr:colOff>378459</xdr:colOff>
      <xdr:row>17</xdr:row>
      <xdr:rowOff>34289</xdr:rowOff>
    </xdr:to>
    <xdr:pic>
      <xdr:nvPicPr>
        <xdr:cNvPr id="16" name="Picture 15" descr="Pin on IG ICON IDEAS">
          <a:hlinkClick xmlns:r="http://schemas.openxmlformats.org/officeDocument/2006/relationships" r:id="rId9"/>
          <a:extLst>
            <a:ext uri="{FF2B5EF4-FFF2-40B4-BE49-F238E27FC236}">
              <a16:creationId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848350" y="3124200"/>
          <a:ext cx="180974" cy="180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190500</xdr:colOff>
      <xdr:row>17</xdr:row>
      <xdr:rowOff>47625</xdr:rowOff>
    </xdr:from>
    <xdr:to>
      <xdr:col>4</xdr:col>
      <xdr:colOff>378459</xdr:colOff>
      <xdr:row>18</xdr:row>
      <xdr:rowOff>35561</xdr:rowOff>
    </xdr:to>
    <xdr:pic>
      <xdr:nvPicPr>
        <xdr:cNvPr id="17" name="Picture 16" descr="Pin on IG ICON IDEAS">
          <a:hlinkClick xmlns:r="http://schemas.openxmlformats.org/officeDocument/2006/relationships" r:id="rId11"/>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848350" y="3333750"/>
          <a:ext cx="180974" cy="180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66675</xdr:colOff>
          <xdr:row>2</xdr:row>
          <xdr:rowOff>66675</xdr:rowOff>
        </xdr:from>
        <xdr:to>
          <xdr:col>8</xdr:col>
          <xdr:colOff>333375</xdr:colOff>
          <xdr:row>2</xdr:row>
          <xdr:rowOff>295275</xdr:rowOff>
        </xdr:to>
        <xdr:sp macro="" textlink="">
          <xdr:nvSpPr>
            <xdr:cNvPr id="25635" name="Option Button 35" hidden="1">
              <a:extLst>
                <a:ext uri="{63B3BB69-23CF-44E3-9099-C40C66FF867C}">
                  <a14:compatExt spid="_x0000_s25635"/>
                </a:ext>
                <a:ext uri="{FF2B5EF4-FFF2-40B4-BE49-F238E27FC236}">
                  <a16:creationId xmlns:a16="http://schemas.microsoft.com/office/drawing/2014/main" id="{00000000-0008-0000-0500-00002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2</xdr:row>
          <xdr:rowOff>66675</xdr:rowOff>
        </xdr:from>
        <xdr:to>
          <xdr:col>10</xdr:col>
          <xdr:colOff>38100</xdr:colOff>
          <xdr:row>2</xdr:row>
          <xdr:rowOff>295275</xdr:rowOff>
        </xdr:to>
        <xdr:sp macro="" textlink="">
          <xdr:nvSpPr>
            <xdr:cNvPr id="25636" name="Option Button 36" hidden="1">
              <a:extLst>
                <a:ext uri="{63B3BB69-23CF-44E3-9099-C40C66FF867C}">
                  <a14:compatExt spid="_x0000_s25636"/>
                </a:ext>
                <a:ext uri="{FF2B5EF4-FFF2-40B4-BE49-F238E27FC236}">
                  <a16:creationId xmlns:a16="http://schemas.microsoft.com/office/drawing/2014/main" id="{00000000-0008-0000-0500-000024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523875</xdr:colOff>
          <xdr:row>2</xdr:row>
          <xdr:rowOff>38100</xdr:rowOff>
        </xdr:from>
        <xdr:to>
          <xdr:col>1</xdr:col>
          <xdr:colOff>200025</xdr:colOff>
          <xdr:row>2</xdr:row>
          <xdr:rowOff>295275</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500-000027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1619251</xdr:colOff>
      <xdr:row>16</xdr:row>
      <xdr:rowOff>44450</xdr:rowOff>
    </xdr:from>
    <xdr:to>
      <xdr:col>1</xdr:col>
      <xdr:colOff>1787835</xdr:colOff>
      <xdr:row>17</xdr:row>
      <xdr:rowOff>34925</xdr:rowOff>
    </xdr:to>
    <xdr:pic>
      <xdr:nvPicPr>
        <xdr:cNvPr id="30" name="Picture 29">
          <a:hlinkClick xmlns:r="http://schemas.openxmlformats.org/officeDocument/2006/relationships" r:id="rId13" tooltip="Segmentation Calculator"/>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209801" y="4260850"/>
          <a:ext cx="157789" cy="196850"/>
        </a:xfrm>
        <a:prstGeom prst="rect">
          <a:avLst/>
        </a:prstGeom>
      </xdr:spPr>
    </xdr:pic>
    <xdr:clientData/>
  </xdr:twoCellAnchor>
  <xdr:twoCellAnchor>
    <xdr:from>
      <xdr:col>12</xdr:col>
      <xdr:colOff>114300</xdr:colOff>
      <xdr:row>25</xdr:row>
      <xdr:rowOff>57150</xdr:rowOff>
    </xdr:from>
    <xdr:to>
      <xdr:col>14</xdr:col>
      <xdr:colOff>47625</xdr:colOff>
      <xdr:row>36</xdr:row>
      <xdr:rowOff>104775</xdr:rowOff>
    </xdr:to>
    <xdr:sp macro="" textlink="">
      <xdr:nvSpPr>
        <xdr:cNvPr id="4" name="Rectangle 3">
          <a:extLst>
            <a:ext uri="{FF2B5EF4-FFF2-40B4-BE49-F238E27FC236}">
              <a16:creationId xmlns:a16="http://schemas.microsoft.com/office/drawing/2014/main" id="{00000000-0008-0000-0500-000004000000}"/>
            </a:ext>
          </a:extLst>
        </xdr:cNvPr>
        <xdr:cNvSpPr/>
      </xdr:nvSpPr>
      <xdr:spPr>
        <a:xfrm>
          <a:off x="13563600" y="6286500"/>
          <a:ext cx="1171575" cy="24574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clientData/>
  </xdr:twoCellAnchor>
  <xdr:twoCellAnchor>
    <xdr:from>
      <xdr:col>0</xdr:col>
      <xdr:colOff>558800</xdr:colOff>
      <xdr:row>7</xdr:row>
      <xdr:rowOff>14194</xdr:rowOff>
    </xdr:from>
    <xdr:to>
      <xdr:col>3</xdr:col>
      <xdr:colOff>1022350</xdr:colOff>
      <xdr:row>7</xdr:row>
      <xdr:rowOff>14194</xdr:rowOff>
    </xdr:to>
    <xdr:cxnSp macro="">
      <xdr:nvCxnSpPr>
        <xdr:cNvPr id="25606" name="Straight Connector 9">
          <a:extLst>
            <a:ext uri="{FF2B5EF4-FFF2-40B4-BE49-F238E27FC236}">
              <a16:creationId xmlns:a16="http://schemas.microsoft.com/office/drawing/2014/main" id="{00000000-0008-0000-0500-000006640000}"/>
            </a:ext>
          </a:extLst>
        </xdr:cNvPr>
        <xdr:cNvCxnSpPr/>
      </xdr:nvCxnSpPr>
      <xdr:spPr>
        <a:xfrm>
          <a:off x="558800" y="2849282"/>
          <a:ext cx="5282079" cy="0"/>
        </a:xfrm>
        <a:prstGeom prst="line">
          <a:avLst/>
        </a:prstGeom>
        <a:ln>
          <a:solidFill>
            <a:schemeClr val="bg1"/>
          </a:solidFill>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0</xdr:col>
      <xdr:colOff>0</xdr:colOff>
      <xdr:row>0</xdr:row>
      <xdr:rowOff>0</xdr:rowOff>
    </xdr:from>
    <xdr:to>
      <xdr:col>9</xdr:col>
      <xdr:colOff>184423</xdr:colOff>
      <xdr:row>0</xdr:row>
      <xdr:rowOff>1190625</xdr:rowOff>
    </xdr:to>
    <xdr:grpSp>
      <xdr:nvGrpSpPr>
        <xdr:cNvPr id="25616" name="Group 25615">
          <a:extLst>
            <a:ext uri="{FF2B5EF4-FFF2-40B4-BE49-F238E27FC236}">
              <a16:creationId xmlns:a16="http://schemas.microsoft.com/office/drawing/2014/main" id="{00000000-0008-0000-0500-000010640000}"/>
            </a:ext>
          </a:extLst>
        </xdr:cNvPr>
        <xdr:cNvGrpSpPr/>
      </xdr:nvGrpSpPr>
      <xdr:grpSpPr>
        <a:xfrm>
          <a:off x="0" y="0"/>
          <a:ext cx="11867431" cy="1190625"/>
          <a:chOff x="0" y="0"/>
          <a:chExt cx="12198986" cy="1190625"/>
        </a:xfrm>
      </xdr:grpSpPr>
      <xdr:sp macro="" textlink="">
        <xdr:nvSpPr>
          <xdr:cNvPr id="25619" name="TextBox 25618">
            <a:extLst>
              <a:ext uri="{FF2B5EF4-FFF2-40B4-BE49-F238E27FC236}">
                <a16:creationId xmlns:a16="http://schemas.microsoft.com/office/drawing/2014/main" id="{00000000-0008-0000-0500-000013640000}"/>
              </a:ext>
            </a:extLst>
          </xdr:cNvPr>
          <xdr:cNvSpPr txBox="1"/>
        </xdr:nvSpPr>
        <xdr:spPr>
          <a:xfrm>
            <a:off x="849027" y="17369"/>
            <a:ext cx="871625" cy="330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ABOUT</a:t>
            </a:r>
          </a:p>
        </xdr:txBody>
      </xdr:sp>
      <xdr:sp macro="" textlink="">
        <xdr:nvSpPr>
          <xdr:cNvPr id="25620" name="TextBox 25619">
            <a:extLst>
              <a:ext uri="{FF2B5EF4-FFF2-40B4-BE49-F238E27FC236}">
                <a16:creationId xmlns:a16="http://schemas.microsoft.com/office/drawing/2014/main" id="{00000000-0008-0000-0500-000014640000}"/>
              </a:ext>
            </a:extLst>
          </xdr:cNvPr>
          <xdr:cNvSpPr txBox="1"/>
        </xdr:nvSpPr>
        <xdr:spPr>
          <a:xfrm>
            <a:off x="4905072" y="0"/>
            <a:ext cx="1460728" cy="336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DASHBOARD</a:t>
            </a:r>
          </a:p>
        </xdr:txBody>
      </xdr:sp>
      <xdr:sp macro="" textlink="">
        <xdr:nvSpPr>
          <xdr:cNvPr id="25621" name="TextBox 25620">
            <a:extLst>
              <a:ext uri="{FF2B5EF4-FFF2-40B4-BE49-F238E27FC236}">
                <a16:creationId xmlns:a16="http://schemas.microsoft.com/office/drawing/2014/main" id="{00000000-0008-0000-0500-000015640000}"/>
              </a:ext>
            </a:extLst>
          </xdr:cNvPr>
          <xdr:cNvSpPr txBox="1"/>
        </xdr:nvSpPr>
        <xdr:spPr>
          <a:xfrm>
            <a:off x="7295787" y="9525"/>
            <a:ext cx="1640043" cy="336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CALCULATIONS</a:t>
            </a:r>
          </a:p>
        </xdr:txBody>
      </xdr:sp>
      <xdr:pic>
        <xdr:nvPicPr>
          <xdr:cNvPr id="25622" name="Picture 25621">
            <a:hlinkClick xmlns:r="http://schemas.openxmlformats.org/officeDocument/2006/relationships" r:id="rId15" tooltip="Education"/>
            <a:extLst>
              <a:ext uri="{FF2B5EF4-FFF2-40B4-BE49-F238E27FC236}">
                <a16:creationId xmlns:a16="http://schemas.microsoft.com/office/drawing/2014/main" id="{00000000-0008-0000-0500-00001664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861034" y="300037"/>
            <a:ext cx="781668" cy="762000"/>
          </a:xfrm>
          <a:prstGeom prst="rect">
            <a:avLst/>
          </a:prstGeom>
          <a:ln>
            <a:noFill/>
          </a:ln>
        </xdr:spPr>
      </xdr:pic>
      <xdr:pic>
        <xdr:nvPicPr>
          <xdr:cNvPr id="25623" name="Picture 25622">
            <a:hlinkClick xmlns:r="http://schemas.openxmlformats.org/officeDocument/2006/relationships" r:id="rId17" tooltip="Terms &amp; Conditions"/>
            <a:extLst>
              <a:ext uri="{FF2B5EF4-FFF2-40B4-BE49-F238E27FC236}">
                <a16:creationId xmlns:a16="http://schemas.microsoft.com/office/drawing/2014/main" id="{00000000-0008-0000-0500-00001764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275950" y="301561"/>
            <a:ext cx="779626" cy="758952"/>
          </a:xfrm>
          <a:prstGeom prst="rect">
            <a:avLst/>
          </a:prstGeom>
          <a:ln>
            <a:noFill/>
          </a:ln>
        </xdr:spPr>
      </xdr:pic>
      <xdr:pic>
        <xdr:nvPicPr>
          <xdr:cNvPr id="25624" name="Picture 25623">
            <a:hlinkClick xmlns:r="http://schemas.openxmlformats.org/officeDocument/2006/relationships" r:id="rId19" tooltip="User Guide"/>
            <a:extLst>
              <a:ext uri="{FF2B5EF4-FFF2-40B4-BE49-F238E27FC236}">
                <a16:creationId xmlns:a16="http://schemas.microsoft.com/office/drawing/2014/main" id="{00000000-0008-0000-0500-00001864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092593" y="301561"/>
            <a:ext cx="779626" cy="758952"/>
          </a:xfrm>
          <a:prstGeom prst="rect">
            <a:avLst/>
          </a:prstGeom>
        </xdr:spPr>
      </xdr:pic>
      <xdr:pic>
        <xdr:nvPicPr>
          <xdr:cNvPr id="25625" name="Picture 25624">
            <a:hlinkClick xmlns:r="http://schemas.openxmlformats.org/officeDocument/2006/relationships" r:id="rId21" tooltip="Dashboard"/>
            <a:extLst>
              <a:ext uri="{FF2B5EF4-FFF2-40B4-BE49-F238E27FC236}">
                <a16:creationId xmlns:a16="http://schemas.microsoft.com/office/drawing/2014/main" id="{00000000-0008-0000-0500-00001964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924641" y="314325"/>
            <a:ext cx="779626" cy="758952"/>
          </a:xfrm>
          <a:prstGeom prst="rect">
            <a:avLst/>
          </a:prstGeom>
        </xdr:spPr>
      </xdr:pic>
      <xdr:pic>
        <xdr:nvPicPr>
          <xdr:cNvPr id="25626" name="Picture 25625">
            <a:hlinkClick xmlns:r="http://schemas.openxmlformats.org/officeDocument/2006/relationships" r:id="rId23" tooltip="Factors"/>
            <a:extLst>
              <a:ext uri="{FF2B5EF4-FFF2-40B4-BE49-F238E27FC236}">
                <a16:creationId xmlns:a16="http://schemas.microsoft.com/office/drawing/2014/main" id="{00000000-0008-0000-0500-00001A64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6323820" y="314325"/>
            <a:ext cx="779626" cy="758952"/>
          </a:xfrm>
          <a:prstGeom prst="rect">
            <a:avLst/>
          </a:prstGeom>
        </xdr:spPr>
      </xdr:pic>
      <xdr:pic>
        <xdr:nvPicPr>
          <xdr:cNvPr id="25627" name="Picture 25626">
            <a:hlinkClick xmlns:r="http://schemas.openxmlformats.org/officeDocument/2006/relationships" r:id="rId13" tooltip="Alternative Calculations"/>
            <a:extLst>
              <a:ext uri="{FF2B5EF4-FFF2-40B4-BE49-F238E27FC236}">
                <a16:creationId xmlns:a16="http://schemas.microsoft.com/office/drawing/2014/main" id="{00000000-0008-0000-0500-00001B64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5678045" y="314325"/>
            <a:ext cx="779626" cy="758952"/>
          </a:xfrm>
          <a:prstGeom prst="rect">
            <a:avLst/>
          </a:prstGeom>
        </xdr:spPr>
      </xdr:pic>
      <xdr:pic>
        <xdr:nvPicPr>
          <xdr:cNvPr id="25628" name="Picture 25627">
            <a:hlinkClick xmlns:r="http://schemas.openxmlformats.org/officeDocument/2006/relationships" r:id="rId26" tooltip="Abbreviations"/>
            <a:extLst>
              <a:ext uri="{FF2B5EF4-FFF2-40B4-BE49-F238E27FC236}">
                <a16:creationId xmlns:a16="http://schemas.microsoft.com/office/drawing/2014/main" id="{00000000-0008-0000-0500-00001C64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3909237" y="301561"/>
            <a:ext cx="783981" cy="758952"/>
          </a:xfrm>
          <a:prstGeom prst="rect">
            <a:avLst/>
          </a:prstGeom>
        </xdr:spPr>
      </xdr:pic>
      <xdr:pic>
        <xdr:nvPicPr>
          <xdr:cNvPr id="25629" name="Picture 25628">
            <a:hlinkClick xmlns:r="http://schemas.openxmlformats.org/officeDocument/2006/relationships" r:id="rId4" tooltip="Oil and Refined Products"/>
            <a:extLst>
              <a:ext uri="{FF2B5EF4-FFF2-40B4-BE49-F238E27FC236}">
                <a16:creationId xmlns:a16="http://schemas.microsoft.com/office/drawing/2014/main" id="{00000000-0008-0000-0500-00001D64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7256651" y="304800"/>
            <a:ext cx="779626" cy="758952"/>
          </a:xfrm>
          <a:prstGeom prst="rect">
            <a:avLst/>
          </a:prstGeom>
        </xdr:spPr>
      </xdr:pic>
      <xdr:sp macro="" textlink="">
        <xdr:nvSpPr>
          <xdr:cNvPr id="25630" name="Rectangle: Rounded Corners 25629">
            <a:extLst>
              <a:ext uri="{FF2B5EF4-FFF2-40B4-BE49-F238E27FC236}">
                <a16:creationId xmlns:a16="http://schemas.microsoft.com/office/drawing/2014/main" id="{00000000-0008-0000-0500-00001E640000}"/>
              </a:ext>
            </a:extLst>
          </xdr:cNvPr>
          <xdr:cNvSpPr/>
        </xdr:nvSpPr>
        <xdr:spPr>
          <a:xfrm>
            <a:off x="831680" y="57150"/>
            <a:ext cx="3885100" cy="11334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sp macro="" textlink="">
        <xdr:nvSpPr>
          <xdr:cNvPr id="25631" name="Rectangle: Rounded Corners 25630">
            <a:extLst>
              <a:ext uri="{FF2B5EF4-FFF2-40B4-BE49-F238E27FC236}">
                <a16:creationId xmlns:a16="http://schemas.microsoft.com/office/drawing/2014/main" id="{00000000-0008-0000-0500-00001F640000}"/>
              </a:ext>
            </a:extLst>
          </xdr:cNvPr>
          <xdr:cNvSpPr/>
        </xdr:nvSpPr>
        <xdr:spPr>
          <a:xfrm>
            <a:off x="7237082" y="47625"/>
            <a:ext cx="4881220" cy="11334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pic>
        <xdr:nvPicPr>
          <xdr:cNvPr id="25632" name="Picture 25631">
            <a:hlinkClick xmlns:r="http://schemas.openxmlformats.org/officeDocument/2006/relationships" r:id="rId29" tooltip="Home"/>
            <a:extLst>
              <a:ext uri="{FF2B5EF4-FFF2-40B4-BE49-F238E27FC236}">
                <a16:creationId xmlns:a16="http://schemas.microsoft.com/office/drawing/2014/main" id="{00000000-0008-0000-0500-00002064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0" y="323850"/>
            <a:ext cx="779626" cy="758952"/>
          </a:xfrm>
          <a:prstGeom prst="rect">
            <a:avLst/>
          </a:prstGeom>
        </xdr:spPr>
      </xdr:pic>
      <xdr:grpSp>
        <xdr:nvGrpSpPr>
          <xdr:cNvPr id="25633" name="Group 25632">
            <a:extLst>
              <a:ext uri="{FF2B5EF4-FFF2-40B4-BE49-F238E27FC236}">
                <a16:creationId xmlns:a16="http://schemas.microsoft.com/office/drawing/2014/main" id="{00000000-0008-0000-0500-000021640000}"/>
              </a:ext>
            </a:extLst>
          </xdr:cNvPr>
          <xdr:cNvGrpSpPr/>
        </xdr:nvGrpSpPr>
        <xdr:grpSpPr>
          <a:xfrm>
            <a:off x="8739731" y="304801"/>
            <a:ext cx="779626" cy="652742"/>
            <a:chOff x="8739731" y="304801"/>
            <a:chExt cx="779626" cy="652742"/>
          </a:xfrm>
        </xdr:grpSpPr>
        <xdr:pic>
          <xdr:nvPicPr>
            <xdr:cNvPr id="25653" name="Picture 25652">
              <a:hlinkClick xmlns:r="http://schemas.openxmlformats.org/officeDocument/2006/relationships" r:id="rId7" tooltip="Gas &amp; LNG"/>
              <a:extLst>
                <a:ext uri="{FF2B5EF4-FFF2-40B4-BE49-F238E27FC236}">
                  <a16:creationId xmlns:a16="http://schemas.microsoft.com/office/drawing/2014/main" id="{00000000-0008-0000-0500-000035640000}"/>
                </a:ext>
              </a:extLst>
            </xdr:cNvPr>
            <xdr:cNvPicPr>
              <a:picLocks noChangeAspect="1"/>
            </xdr:cNvPicPr>
          </xdr:nvPicPr>
          <xdr:blipFill rotWithShape="1">
            <a:blip xmlns:r="http://schemas.openxmlformats.org/officeDocument/2006/relationships" r:embed="rId31" cstate="print">
              <a:extLst>
                <a:ext uri="{28A0092B-C50C-407E-A947-70E740481C1C}">
                  <a14:useLocalDpi xmlns:a14="http://schemas.microsoft.com/office/drawing/2010/main" val="0"/>
                </a:ext>
              </a:extLst>
            </a:blip>
            <a:srcRect b="32893"/>
            <a:stretch/>
          </xdr:blipFill>
          <xdr:spPr>
            <a:xfrm>
              <a:off x="8739731" y="304801"/>
              <a:ext cx="779626" cy="509306"/>
            </a:xfrm>
            <a:prstGeom prst="rect">
              <a:avLst/>
            </a:prstGeom>
          </xdr:spPr>
        </xdr:pic>
        <xdr:sp macro="" textlink="">
          <xdr:nvSpPr>
            <xdr:cNvPr id="25654" name="TextBox 25653">
              <a:extLst>
                <a:ext uri="{FF2B5EF4-FFF2-40B4-BE49-F238E27FC236}">
                  <a16:creationId xmlns:a16="http://schemas.microsoft.com/office/drawing/2014/main" id="{00000000-0008-0000-0500-000036640000}"/>
                </a:ext>
              </a:extLst>
            </xdr:cNvPr>
            <xdr:cNvSpPr txBox="1"/>
          </xdr:nvSpPr>
          <xdr:spPr>
            <a:xfrm>
              <a:off x="8846184" y="769283"/>
              <a:ext cx="537883" cy="18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NGLs</a:t>
              </a:r>
            </a:p>
          </xdr:txBody>
        </xdr:sp>
      </xdr:grpSp>
      <xdr:grpSp>
        <xdr:nvGrpSpPr>
          <xdr:cNvPr id="25634" name="Group 25633">
            <a:hlinkClick xmlns:r="http://schemas.openxmlformats.org/officeDocument/2006/relationships" r:id="rId6"/>
            <a:extLst>
              <a:ext uri="{FF2B5EF4-FFF2-40B4-BE49-F238E27FC236}">
                <a16:creationId xmlns:a16="http://schemas.microsoft.com/office/drawing/2014/main" id="{00000000-0008-0000-0500-000022640000}"/>
              </a:ext>
            </a:extLst>
          </xdr:cNvPr>
          <xdr:cNvGrpSpPr/>
        </xdr:nvGrpSpPr>
        <xdr:grpSpPr>
          <a:xfrm>
            <a:off x="7963288" y="399140"/>
            <a:ext cx="936684" cy="558403"/>
            <a:chOff x="7252446" y="427715"/>
            <a:chExt cx="932330" cy="558403"/>
          </a:xfrm>
        </xdr:grpSpPr>
        <xdr:pic>
          <xdr:nvPicPr>
            <xdr:cNvPr id="25651" name="Picture 25650">
              <a:extLst>
                <a:ext uri="{FF2B5EF4-FFF2-40B4-BE49-F238E27FC236}">
                  <a16:creationId xmlns:a16="http://schemas.microsoft.com/office/drawing/2014/main" id="{00000000-0008-0000-0500-000033640000}"/>
                </a:ext>
                <a:ext uri="{147F2762-F138-4A5C-976F-8EAC2B608ADB}">
                  <a16:predDERef xmlns:a16="http://schemas.microsoft.com/office/drawing/2014/main" pred="{EF1B35E2-6469-5D85-6D58-31B6837836BF}"/>
                </a:ext>
              </a:extLst>
            </xdr:cNvPr>
            <xdr:cNvPicPr>
              <a:picLocks noChangeAspect="1"/>
            </xdr:cNvPicPr>
          </xdr:nvPicPr>
          <xdr:blipFill>
            <a:blip xmlns:r="http://schemas.openxmlformats.org/officeDocument/2006/relationships" r:embed="rId32"/>
            <a:stretch>
              <a:fillRect/>
            </a:stretch>
          </xdr:blipFill>
          <xdr:spPr>
            <a:xfrm>
              <a:off x="7404131" y="427715"/>
              <a:ext cx="582522" cy="453422"/>
            </a:xfrm>
            <a:prstGeom prst="rect">
              <a:avLst/>
            </a:prstGeom>
          </xdr:spPr>
        </xdr:pic>
        <xdr:sp macro="" textlink="">
          <xdr:nvSpPr>
            <xdr:cNvPr id="25652" name="TextBox 25651">
              <a:extLst>
                <a:ext uri="{FF2B5EF4-FFF2-40B4-BE49-F238E27FC236}">
                  <a16:creationId xmlns:a16="http://schemas.microsoft.com/office/drawing/2014/main" id="{00000000-0008-0000-0500-000034640000}"/>
                </a:ext>
              </a:extLst>
            </xdr:cNvPr>
            <xdr:cNvSpPr txBox="1"/>
          </xdr:nvSpPr>
          <xdr:spPr>
            <a:xfrm>
              <a:off x="7252446" y="815785"/>
              <a:ext cx="932330" cy="17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b="0">
                  <a:latin typeface="72 Black" panose="020B0A04030603020204" pitchFamily="34" charset="0"/>
                  <a:cs typeface="72 Black" panose="020B0A04030603020204" pitchFamily="34" charset="0"/>
                </a:rPr>
                <a:t>GAS</a:t>
              </a:r>
              <a:r>
                <a:rPr lang="en-US" sz="900" b="0" baseline="0">
                  <a:latin typeface="72 Black" panose="020B0A04030603020204" pitchFamily="34" charset="0"/>
                  <a:cs typeface="72 Black" panose="020B0A04030603020204" pitchFamily="34" charset="0"/>
                </a:rPr>
                <a:t> &amp; LNG</a:t>
              </a:r>
              <a:endParaRPr lang="en-US" sz="900" b="0">
                <a:latin typeface="72 Black" panose="020B0A04030603020204" pitchFamily="34" charset="0"/>
                <a:cs typeface="72 Black" panose="020B0A04030603020204" pitchFamily="34" charset="0"/>
              </a:endParaRPr>
            </a:p>
          </xdr:txBody>
        </xdr:sp>
      </xdr:grpSp>
      <xdr:grpSp>
        <xdr:nvGrpSpPr>
          <xdr:cNvPr id="25637" name="Group 25636">
            <a:hlinkClick xmlns:r="http://schemas.openxmlformats.org/officeDocument/2006/relationships" r:id="rId9"/>
            <a:extLst>
              <a:ext uri="{FF2B5EF4-FFF2-40B4-BE49-F238E27FC236}">
                <a16:creationId xmlns:a16="http://schemas.microsoft.com/office/drawing/2014/main" id="{00000000-0008-0000-0500-000025640000}"/>
              </a:ext>
            </a:extLst>
          </xdr:cNvPr>
          <xdr:cNvGrpSpPr/>
        </xdr:nvGrpSpPr>
        <xdr:grpSpPr>
          <a:xfrm>
            <a:off x="10117854" y="449143"/>
            <a:ext cx="952892" cy="517367"/>
            <a:chOff x="9402658" y="477718"/>
            <a:chExt cx="952892" cy="517367"/>
          </a:xfrm>
        </xdr:grpSpPr>
        <xdr:pic>
          <xdr:nvPicPr>
            <xdr:cNvPr id="25649" name="Picture 25648">
              <a:extLst>
                <a:ext uri="{FF2B5EF4-FFF2-40B4-BE49-F238E27FC236}">
                  <a16:creationId xmlns:a16="http://schemas.microsoft.com/office/drawing/2014/main" id="{00000000-0008-0000-0500-000031640000}"/>
                </a:ext>
              </a:extLst>
            </xdr:cNvPr>
            <xdr:cNvPicPr>
              <a:picLocks noChangeAspect="1"/>
            </xdr:cNvPicPr>
          </xdr:nvPicPr>
          <xdr:blipFill>
            <a:blip xmlns:r="http://schemas.openxmlformats.org/officeDocument/2006/relationships" r:embed="rId33"/>
            <a:stretch>
              <a:fillRect/>
            </a:stretch>
          </xdr:blipFill>
          <xdr:spPr>
            <a:xfrm>
              <a:off x="9525454" y="477718"/>
              <a:ext cx="679846" cy="340639"/>
            </a:xfrm>
            <a:prstGeom prst="rect">
              <a:avLst/>
            </a:prstGeom>
          </xdr:spPr>
        </xdr:pic>
        <xdr:sp macro="" textlink="">
          <xdr:nvSpPr>
            <xdr:cNvPr id="25650" name="TextBox 25649">
              <a:extLst>
                <a:ext uri="{FF2B5EF4-FFF2-40B4-BE49-F238E27FC236}">
                  <a16:creationId xmlns:a16="http://schemas.microsoft.com/office/drawing/2014/main" id="{00000000-0008-0000-0500-000032640000}"/>
                </a:ext>
              </a:extLst>
            </xdr:cNvPr>
            <xdr:cNvSpPr txBox="1"/>
          </xdr:nvSpPr>
          <xdr:spPr>
            <a:xfrm>
              <a:off x="9402658" y="806825"/>
              <a:ext cx="952892" cy="18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HYDROGEN</a:t>
              </a:r>
            </a:p>
          </xdr:txBody>
        </xdr:sp>
      </xdr:grpSp>
      <xdr:grpSp>
        <xdr:nvGrpSpPr>
          <xdr:cNvPr id="25638" name="Group 25637">
            <a:hlinkClick xmlns:r="http://schemas.openxmlformats.org/officeDocument/2006/relationships" r:id="rId8"/>
            <a:extLst>
              <a:ext uri="{FF2B5EF4-FFF2-40B4-BE49-F238E27FC236}">
                <a16:creationId xmlns:a16="http://schemas.microsoft.com/office/drawing/2014/main" id="{00000000-0008-0000-0500-000026640000}"/>
              </a:ext>
            </a:extLst>
          </xdr:cNvPr>
          <xdr:cNvGrpSpPr/>
        </xdr:nvGrpSpPr>
        <xdr:grpSpPr>
          <a:xfrm>
            <a:off x="9340366" y="249331"/>
            <a:ext cx="841559" cy="690282"/>
            <a:chOff x="8625170" y="277906"/>
            <a:chExt cx="841559" cy="690282"/>
          </a:xfrm>
        </xdr:grpSpPr>
        <xdr:pic>
          <xdr:nvPicPr>
            <xdr:cNvPr id="25647" name="Picture 25646">
              <a:extLst>
                <a:ext uri="{FF2B5EF4-FFF2-40B4-BE49-F238E27FC236}">
                  <a16:creationId xmlns:a16="http://schemas.microsoft.com/office/drawing/2014/main" id="{00000000-0008-0000-0500-00002F640000}"/>
                </a:ext>
                <a:ext uri="{147F2762-F138-4A5C-976F-8EAC2B608ADB}">
                  <a16:predDERef xmlns:a16="http://schemas.microsoft.com/office/drawing/2014/main" pred="{C3724981-7622-998F-1DE2-D8A1EDB791C5}"/>
                </a:ext>
              </a:extLst>
            </xdr:cNvPr>
            <xdr:cNvPicPr>
              <a:picLocks noChangeAspect="1"/>
            </xdr:cNvPicPr>
          </xdr:nvPicPr>
          <xdr:blipFill>
            <a:blip xmlns:r="http://schemas.openxmlformats.org/officeDocument/2006/relationships" r:embed="rId34"/>
            <a:stretch>
              <a:fillRect/>
            </a:stretch>
          </xdr:blipFill>
          <xdr:spPr>
            <a:xfrm>
              <a:off x="8686800" y="277906"/>
              <a:ext cx="685800" cy="577215"/>
            </a:xfrm>
            <a:prstGeom prst="rect">
              <a:avLst/>
            </a:prstGeom>
          </xdr:spPr>
        </xdr:pic>
        <xdr:sp macro="" textlink="">
          <xdr:nvSpPr>
            <xdr:cNvPr id="25648" name="TextBox 25647">
              <a:extLst>
                <a:ext uri="{FF2B5EF4-FFF2-40B4-BE49-F238E27FC236}">
                  <a16:creationId xmlns:a16="http://schemas.microsoft.com/office/drawing/2014/main" id="{00000000-0008-0000-0500-000030640000}"/>
                </a:ext>
              </a:extLst>
            </xdr:cNvPr>
            <xdr:cNvSpPr txBox="1"/>
          </xdr:nvSpPr>
          <xdr:spPr>
            <a:xfrm>
              <a:off x="8625170" y="808505"/>
              <a:ext cx="841559"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BIOFUELS</a:t>
              </a:r>
            </a:p>
          </xdr:txBody>
        </xdr:sp>
      </xdr:grpSp>
      <xdr:grpSp>
        <xdr:nvGrpSpPr>
          <xdr:cNvPr id="25640" name="Group 25639">
            <a:hlinkClick xmlns:r="http://schemas.openxmlformats.org/officeDocument/2006/relationships" r:id="rId11"/>
            <a:extLst>
              <a:ext uri="{FF2B5EF4-FFF2-40B4-BE49-F238E27FC236}">
                <a16:creationId xmlns:a16="http://schemas.microsoft.com/office/drawing/2014/main" id="{00000000-0008-0000-0500-000028640000}"/>
              </a:ext>
            </a:extLst>
          </xdr:cNvPr>
          <xdr:cNvGrpSpPr/>
        </xdr:nvGrpSpPr>
        <xdr:grpSpPr>
          <a:xfrm>
            <a:off x="10773597" y="215530"/>
            <a:ext cx="1425389" cy="957239"/>
            <a:chOff x="10094261" y="244105"/>
            <a:chExt cx="1425389" cy="957239"/>
          </a:xfrm>
        </xdr:grpSpPr>
        <xdr:pic>
          <xdr:nvPicPr>
            <xdr:cNvPr id="25645" name="Picture 25644">
              <a:extLst>
                <a:ext uri="{FF2B5EF4-FFF2-40B4-BE49-F238E27FC236}">
                  <a16:creationId xmlns:a16="http://schemas.microsoft.com/office/drawing/2014/main" id="{00000000-0008-0000-0500-00002D640000}"/>
                </a:ext>
                <a:ext uri="{147F2762-F138-4A5C-976F-8EAC2B608ADB}">
                  <a16:predDERef xmlns:a16="http://schemas.microsoft.com/office/drawing/2014/main" pred="{4BF98531-84AF-FD02-8989-724C2737A24A}"/>
                </a:ext>
              </a:extLst>
            </xdr:cNvPr>
            <xdr:cNvPicPr>
              <a:picLocks noChangeAspect="1"/>
            </xdr:cNvPicPr>
          </xdr:nvPicPr>
          <xdr:blipFill>
            <a:blip xmlns:r="http://schemas.openxmlformats.org/officeDocument/2006/relationships" r:embed="rId35"/>
            <a:stretch>
              <a:fillRect/>
            </a:stretch>
          </xdr:blipFill>
          <xdr:spPr>
            <a:xfrm>
              <a:off x="10548612" y="244105"/>
              <a:ext cx="458002" cy="608284"/>
            </a:xfrm>
            <a:prstGeom prst="rect">
              <a:avLst/>
            </a:prstGeom>
          </xdr:spPr>
        </xdr:pic>
        <xdr:sp macro="" textlink="">
          <xdr:nvSpPr>
            <xdr:cNvPr id="25646" name="TextBox 25645">
              <a:extLst>
                <a:ext uri="{FF2B5EF4-FFF2-40B4-BE49-F238E27FC236}">
                  <a16:creationId xmlns:a16="http://schemas.microsoft.com/office/drawing/2014/main" id="{00000000-0008-0000-0500-00002E640000}"/>
                </a:ext>
              </a:extLst>
            </xdr:cNvPr>
            <xdr:cNvSpPr txBox="1"/>
          </xdr:nvSpPr>
          <xdr:spPr>
            <a:xfrm>
              <a:off x="10094261" y="797789"/>
              <a:ext cx="1425389" cy="403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LOWER</a:t>
              </a:r>
            </a:p>
            <a:p>
              <a:pPr algn="ctr"/>
              <a:r>
                <a:rPr lang="en-US" sz="1000" b="0" baseline="0">
                  <a:latin typeface="72 Black" panose="020B0A04030603020204" pitchFamily="34" charset="0"/>
                  <a:cs typeface="72 Black" panose="020B0A04030603020204" pitchFamily="34" charset="0"/>
                </a:rPr>
                <a:t> CARBON POWER</a:t>
              </a:r>
              <a:endParaRPr lang="en-US" sz="1000" b="0">
                <a:latin typeface="72 Black" panose="020B0A04030603020204" pitchFamily="34" charset="0"/>
                <a:cs typeface="72 Black" panose="020B0A04030603020204" pitchFamily="34" charset="0"/>
              </a:endParaRPr>
            </a:p>
          </xdr:txBody>
        </xdr:sp>
      </xdr:grpSp>
      <xdr:sp macro="" textlink="">
        <xdr:nvSpPr>
          <xdr:cNvPr id="25641" name="Rectangle: Rounded Corners 25640">
            <a:extLst>
              <a:ext uri="{FF2B5EF4-FFF2-40B4-BE49-F238E27FC236}">
                <a16:creationId xmlns:a16="http://schemas.microsoft.com/office/drawing/2014/main" id="{00000000-0008-0000-0500-000029640000}"/>
              </a:ext>
            </a:extLst>
          </xdr:cNvPr>
          <xdr:cNvSpPr/>
        </xdr:nvSpPr>
        <xdr:spPr>
          <a:xfrm>
            <a:off x="4868141" y="64241"/>
            <a:ext cx="2230848" cy="1115483"/>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grpSp>
        <xdr:nvGrpSpPr>
          <xdr:cNvPr id="25642" name="Group 25641">
            <a:hlinkClick xmlns:r="http://schemas.openxmlformats.org/officeDocument/2006/relationships" r:id="rId36"/>
            <a:extLst>
              <a:ext uri="{FF2B5EF4-FFF2-40B4-BE49-F238E27FC236}">
                <a16:creationId xmlns:a16="http://schemas.microsoft.com/office/drawing/2014/main" id="{00000000-0008-0000-0500-00002A640000}"/>
              </a:ext>
            </a:extLst>
          </xdr:cNvPr>
          <xdr:cNvGrpSpPr/>
        </xdr:nvGrpSpPr>
        <xdr:grpSpPr>
          <a:xfrm>
            <a:off x="1717819" y="429577"/>
            <a:ext cx="521114" cy="502920"/>
            <a:chOff x="1714500" y="434340"/>
            <a:chExt cx="521114" cy="502920"/>
          </a:xfrm>
        </xdr:grpSpPr>
        <xdr:pic>
          <xdr:nvPicPr>
            <xdr:cNvPr id="25643" name="Picture 25642">
              <a:extLst>
                <a:ext uri="{FF2B5EF4-FFF2-40B4-BE49-F238E27FC236}">
                  <a16:creationId xmlns:a16="http://schemas.microsoft.com/office/drawing/2014/main" id="{00000000-0008-0000-0500-00002B640000}"/>
                </a:ext>
              </a:extLst>
            </xdr:cNvPr>
            <xdr:cNvPicPr>
              <a:picLocks noChangeAspect="1"/>
            </xdr:cNvPicPr>
          </xdr:nvPicPr>
          <xdr:blipFill>
            <a:blip xmlns:r="http://schemas.openxmlformats.org/officeDocument/2006/relationships" r:embed="rId37"/>
            <a:stretch>
              <a:fillRect/>
            </a:stretch>
          </xdr:blipFill>
          <xdr:spPr>
            <a:xfrm>
              <a:off x="1739946" y="434340"/>
              <a:ext cx="495668" cy="367536"/>
            </a:xfrm>
            <a:prstGeom prst="rect">
              <a:avLst/>
            </a:prstGeom>
          </xdr:spPr>
        </xdr:pic>
        <xdr:sp macro="" textlink="">
          <xdr:nvSpPr>
            <xdr:cNvPr id="25644" name="TextBox 25643">
              <a:extLst>
                <a:ext uri="{FF2B5EF4-FFF2-40B4-BE49-F238E27FC236}">
                  <a16:creationId xmlns:a16="http://schemas.microsoft.com/office/drawing/2014/main" id="{00000000-0008-0000-0500-00002C640000}"/>
                </a:ext>
              </a:extLst>
            </xdr:cNvPr>
            <xdr:cNvSpPr txBox="1"/>
          </xdr:nvSpPr>
          <xdr:spPr>
            <a:xfrm>
              <a:off x="1714500" y="762000"/>
              <a:ext cx="510540" cy="175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latin typeface="72 Black" panose="020B0A04030603020204" pitchFamily="34" charset="0"/>
                  <a:cs typeface="72 Black" panose="020B0A04030603020204" pitchFamily="34" charset="0"/>
                </a:rPr>
                <a:t>FAQ</a:t>
              </a:r>
            </a:p>
          </xdr:txBody>
        </xdr:sp>
      </xdr:grp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1276350</xdr:colOff>
          <xdr:row>1</xdr:row>
          <xdr:rowOff>285750</xdr:rowOff>
        </xdr:from>
        <xdr:to>
          <xdr:col>3</xdr:col>
          <xdr:colOff>9525</xdr:colOff>
          <xdr:row>1</xdr:row>
          <xdr:rowOff>495300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6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5</xdr:col>
      <xdr:colOff>3265080</xdr:colOff>
      <xdr:row>0</xdr:row>
      <xdr:rowOff>1190625</xdr:rowOff>
    </xdr:to>
    <xdr:grpSp>
      <xdr:nvGrpSpPr>
        <xdr:cNvPr id="49156" name="Group 49155">
          <a:extLst>
            <a:ext uri="{FF2B5EF4-FFF2-40B4-BE49-F238E27FC236}">
              <a16:creationId xmlns:a16="http://schemas.microsoft.com/office/drawing/2014/main" id="{00000000-0008-0000-0600-000004C00000}"/>
            </a:ext>
          </a:extLst>
        </xdr:cNvPr>
        <xdr:cNvGrpSpPr/>
      </xdr:nvGrpSpPr>
      <xdr:grpSpPr>
        <a:xfrm>
          <a:off x="0" y="0"/>
          <a:ext cx="11951880" cy="1190625"/>
          <a:chOff x="0" y="0"/>
          <a:chExt cx="12198986" cy="1190625"/>
        </a:xfrm>
      </xdr:grpSpPr>
      <xdr:sp macro="" textlink="">
        <xdr:nvSpPr>
          <xdr:cNvPr id="49157" name="TextBox 49156">
            <a:extLst>
              <a:ext uri="{FF2B5EF4-FFF2-40B4-BE49-F238E27FC236}">
                <a16:creationId xmlns:a16="http://schemas.microsoft.com/office/drawing/2014/main" id="{00000000-0008-0000-0600-000005C00000}"/>
              </a:ext>
            </a:extLst>
          </xdr:cNvPr>
          <xdr:cNvSpPr txBox="1"/>
        </xdr:nvSpPr>
        <xdr:spPr>
          <a:xfrm>
            <a:off x="849027" y="17369"/>
            <a:ext cx="871625" cy="330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ABOUT</a:t>
            </a:r>
          </a:p>
        </xdr:txBody>
      </xdr:sp>
      <xdr:sp macro="" textlink="">
        <xdr:nvSpPr>
          <xdr:cNvPr id="49158" name="TextBox 49157">
            <a:extLst>
              <a:ext uri="{FF2B5EF4-FFF2-40B4-BE49-F238E27FC236}">
                <a16:creationId xmlns:a16="http://schemas.microsoft.com/office/drawing/2014/main" id="{00000000-0008-0000-0600-000006C00000}"/>
              </a:ext>
            </a:extLst>
          </xdr:cNvPr>
          <xdr:cNvSpPr txBox="1"/>
        </xdr:nvSpPr>
        <xdr:spPr>
          <a:xfrm>
            <a:off x="4905072" y="0"/>
            <a:ext cx="1460728" cy="336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DASHBOARD</a:t>
            </a:r>
          </a:p>
        </xdr:txBody>
      </xdr:sp>
      <xdr:sp macro="" textlink="">
        <xdr:nvSpPr>
          <xdr:cNvPr id="49159" name="TextBox 49158">
            <a:extLst>
              <a:ext uri="{FF2B5EF4-FFF2-40B4-BE49-F238E27FC236}">
                <a16:creationId xmlns:a16="http://schemas.microsoft.com/office/drawing/2014/main" id="{00000000-0008-0000-0600-000007C00000}"/>
              </a:ext>
            </a:extLst>
          </xdr:cNvPr>
          <xdr:cNvSpPr txBox="1"/>
        </xdr:nvSpPr>
        <xdr:spPr>
          <a:xfrm>
            <a:off x="7295787" y="9525"/>
            <a:ext cx="1640043" cy="336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CALCULATIONS</a:t>
            </a:r>
          </a:p>
        </xdr:txBody>
      </xdr:sp>
      <xdr:pic>
        <xdr:nvPicPr>
          <xdr:cNvPr id="49160" name="Picture 49159">
            <a:hlinkClick xmlns:r="http://schemas.openxmlformats.org/officeDocument/2006/relationships" r:id="rId1" tooltip="Education"/>
            <a:extLst>
              <a:ext uri="{FF2B5EF4-FFF2-40B4-BE49-F238E27FC236}">
                <a16:creationId xmlns:a16="http://schemas.microsoft.com/office/drawing/2014/main" id="{00000000-0008-0000-0600-000008C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1034" y="300037"/>
            <a:ext cx="781668" cy="762000"/>
          </a:xfrm>
          <a:prstGeom prst="rect">
            <a:avLst/>
          </a:prstGeom>
          <a:ln>
            <a:noFill/>
          </a:ln>
        </xdr:spPr>
      </xdr:pic>
      <xdr:pic>
        <xdr:nvPicPr>
          <xdr:cNvPr id="49161" name="Picture 49160">
            <a:hlinkClick xmlns:r="http://schemas.openxmlformats.org/officeDocument/2006/relationships" r:id="rId3" tooltip="Terms &amp; Conditions"/>
            <a:extLst>
              <a:ext uri="{FF2B5EF4-FFF2-40B4-BE49-F238E27FC236}">
                <a16:creationId xmlns:a16="http://schemas.microsoft.com/office/drawing/2014/main" id="{00000000-0008-0000-0600-000009C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75950" y="301561"/>
            <a:ext cx="779626" cy="758952"/>
          </a:xfrm>
          <a:prstGeom prst="rect">
            <a:avLst/>
          </a:prstGeom>
          <a:ln>
            <a:noFill/>
          </a:ln>
        </xdr:spPr>
      </xdr:pic>
      <xdr:pic>
        <xdr:nvPicPr>
          <xdr:cNvPr id="49162" name="Picture 49161">
            <a:hlinkClick xmlns:r="http://schemas.openxmlformats.org/officeDocument/2006/relationships" r:id="rId5" tooltip="User Guide"/>
            <a:extLst>
              <a:ext uri="{FF2B5EF4-FFF2-40B4-BE49-F238E27FC236}">
                <a16:creationId xmlns:a16="http://schemas.microsoft.com/office/drawing/2014/main" id="{00000000-0008-0000-0600-00000AC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92593" y="301561"/>
            <a:ext cx="779626" cy="758952"/>
          </a:xfrm>
          <a:prstGeom prst="rect">
            <a:avLst/>
          </a:prstGeom>
        </xdr:spPr>
      </xdr:pic>
      <xdr:pic>
        <xdr:nvPicPr>
          <xdr:cNvPr id="49163" name="Picture 49162">
            <a:hlinkClick xmlns:r="http://schemas.openxmlformats.org/officeDocument/2006/relationships" r:id="rId7" tooltip="Dashboard"/>
            <a:extLst>
              <a:ext uri="{FF2B5EF4-FFF2-40B4-BE49-F238E27FC236}">
                <a16:creationId xmlns:a16="http://schemas.microsoft.com/office/drawing/2014/main" id="{00000000-0008-0000-0600-00000BC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924641" y="314325"/>
            <a:ext cx="779626" cy="758952"/>
          </a:xfrm>
          <a:prstGeom prst="rect">
            <a:avLst/>
          </a:prstGeom>
        </xdr:spPr>
      </xdr:pic>
      <xdr:pic>
        <xdr:nvPicPr>
          <xdr:cNvPr id="49164" name="Picture 49163">
            <a:hlinkClick xmlns:r="http://schemas.openxmlformats.org/officeDocument/2006/relationships" r:id="rId9" tooltip="Factors"/>
            <a:extLst>
              <a:ext uri="{FF2B5EF4-FFF2-40B4-BE49-F238E27FC236}">
                <a16:creationId xmlns:a16="http://schemas.microsoft.com/office/drawing/2014/main" id="{00000000-0008-0000-0600-00000CC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323820" y="314325"/>
            <a:ext cx="779626" cy="758952"/>
          </a:xfrm>
          <a:prstGeom prst="rect">
            <a:avLst/>
          </a:prstGeom>
        </xdr:spPr>
      </xdr:pic>
      <xdr:pic>
        <xdr:nvPicPr>
          <xdr:cNvPr id="49165" name="Picture 49164">
            <a:hlinkClick xmlns:r="http://schemas.openxmlformats.org/officeDocument/2006/relationships" r:id="rId11" tooltip="Alternative Calculations"/>
            <a:extLst>
              <a:ext uri="{FF2B5EF4-FFF2-40B4-BE49-F238E27FC236}">
                <a16:creationId xmlns:a16="http://schemas.microsoft.com/office/drawing/2014/main" id="{00000000-0008-0000-0600-00000DC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678045" y="314325"/>
            <a:ext cx="779626" cy="758952"/>
          </a:xfrm>
          <a:prstGeom prst="rect">
            <a:avLst/>
          </a:prstGeom>
        </xdr:spPr>
      </xdr:pic>
      <xdr:pic>
        <xdr:nvPicPr>
          <xdr:cNvPr id="49166" name="Picture 49165">
            <a:hlinkClick xmlns:r="http://schemas.openxmlformats.org/officeDocument/2006/relationships" r:id="rId13" tooltip="Abbreviations"/>
            <a:extLst>
              <a:ext uri="{FF2B5EF4-FFF2-40B4-BE49-F238E27FC236}">
                <a16:creationId xmlns:a16="http://schemas.microsoft.com/office/drawing/2014/main" id="{00000000-0008-0000-0600-00000EC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909237" y="301561"/>
            <a:ext cx="783981" cy="758952"/>
          </a:xfrm>
          <a:prstGeom prst="rect">
            <a:avLst/>
          </a:prstGeom>
        </xdr:spPr>
      </xdr:pic>
      <xdr:pic>
        <xdr:nvPicPr>
          <xdr:cNvPr id="49167" name="Picture 49166">
            <a:hlinkClick xmlns:r="http://schemas.openxmlformats.org/officeDocument/2006/relationships" r:id="rId15" tooltip="Oil and Refined Products"/>
            <a:extLst>
              <a:ext uri="{FF2B5EF4-FFF2-40B4-BE49-F238E27FC236}">
                <a16:creationId xmlns:a16="http://schemas.microsoft.com/office/drawing/2014/main" id="{00000000-0008-0000-0600-00000FC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256651" y="304800"/>
            <a:ext cx="779626" cy="758952"/>
          </a:xfrm>
          <a:prstGeom prst="rect">
            <a:avLst/>
          </a:prstGeom>
        </xdr:spPr>
      </xdr:pic>
      <xdr:sp macro="" textlink="">
        <xdr:nvSpPr>
          <xdr:cNvPr id="49168" name="Rectangle: Rounded Corners 49167">
            <a:extLst>
              <a:ext uri="{FF2B5EF4-FFF2-40B4-BE49-F238E27FC236}">
                <a16:creationId xmlns:a16="http://schemas.microsoft.com/office/drawing/2014/main" id="{00000000-0008-0000-0600-000010C00000}"/>
              </a:ext>
            </a:extLst>
          </xdr:cNvPr>
          <xdr:cNvSpPr/>
        </xdr:nvSpPr>
        <xdr:spPr>
          <a:xfrm>
            <a:off x="831680" y="57150"/>
            <a:ext cx="3885100" cy="11334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sp macro="" textlink="">
        <xdr:nvSpPr>
          <xdr:cNvPr id="49169" name="Rectangle: Rounded Corners 49168">
            <a:extLst>
              <a:ext uri="{FF2B5EF4-FFF2-40B4-BE49-F238E27FC236}">
                <a16:creationId xmlns:a16="http://schemas.microsoft.com/office/drawing/2014/main" id="{00000000-0008-0000-0600-000011C00000}"/>
              </a:ext>
            </a:extLst>
          </xdr:cNvPr>
          <xdr:cNvSpPr/>
        </xdr:nvSpPr>
        <xdr:spPr>
          <a:xfrm>
            <a:off x="7237082" y="47625"/>
            <a:ext cx="4881220" cy="11334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pic>
        <xdr:nvPicPr>
          <xdr:cNvPr id="49170" name="Picture 49169">
            <a:hlinkClick xmlns:r="http://schemas.openxmlformats.org/officeDocument/2006/relationships" r:id="rId17" tooltip="Home"/>
            <a:extLst>
              <a:ext uri="{FF2B5EF4-FFF2-40B4-BE49-F238E27FC236}">
                <a16:creationId xmlns:a16="http://schemas.microsoft.com/office/drawing/2014/main" id="{00000000-0008-0000-0600-000012C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0" y="323850"/>
            <a:ext cx="779626" cy="758952"/>
          </a:xfrm>
          <a:prstGeom prst="rect">
            <a:avLst/>
          </a:prstGeom>
        </xdr:spPr>
      </xdr:pic>
      <xdr:grpSp>
        <xdr:nvGrpSpPr>
          <xdr:cNvPr id="49171" name="Group 49170">
            <a:extLst>
              <a:ext uri="{FF2B5EF4-FFF2-40B4-BE49-F238E27FC236}">
                <a16:creationId xmlns:a16="http://schemas.microsoft.com/office/drawing/2014/main" id="{00000000-0008-0000-0600-000013C00000}"/>
              </a:ext>
            </a:extLst>
          </xdr:cNvPr>
          <xdr:cNvGrpSpPr/>
        </xdr:nvGrpSpPr>
        <xdr:grpSpPr>
          <a:xfrm>
            <a:off x="8739731" y="304801"/>
            <a:ext cx="779626" cy="652742"/>
            <a:chOff x="8739731" y="304801"/>
            <a:chExt cx="779626" cy="652742"/>
          </a:xfrm>
        </xdr:grpSpPr>
        <xdr:pic>
          <xdr:nvPicPr>
            <xdr:cNvPr id="49188" name="Picture 49187">
              <a:hlinkClick xmlns:r="http://schemas.openxmlformats.org/officeDocument/2006/relationships" r:id="rId19" tooltip="Gas &amp; LNG"/>
              <a:extLst>
                <a:ext uri="{FF2B5EF4-FFF2-40B4-BE49-F238E27FC236}">
                  <a16:creationId xmlns:a16="http://schemas.microsoft.com/office/drawing/2014/main" id="{00000000-0008-0000-0600-000024C00000}"/>
                </a:ext>
              </a:extLst>
            </xdr:cNvPr>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b="32893"/>
            <a:stretch/>
          </xdr:blipFill>
          <xdr:spPr>
            <a:xfrm>
              <a:off x="8739731" y="304801"/>
              <a:ext cx="779626" cy="509306"/>
            </a:xfrm>
            <a:prstGeom prst="rect">
              <a:avLst/>
            </a:prstGeom>
          </xdr:spPr>
        </xdr:pic>
        <xdr:sp macro="" textlink="">
          <xdr:nvSpPr>
            <xdr:cNvPr id="49189" name="TextBox 49188">
              <a:extLst>
                <a:ext uri="{FF2B5EF4-FFF2-40B4-BE49-F238E27FC236}">
                  <a16:creationId xmlns:a16="http://schemas.microsoft.com/office/drawing/2014/main" id="{00000000-0008-0000-0600-000025C00000}"/>
                </a:ext>
              </a:extLst>
            </xdr:cNvPr>
            <xdr:cNvSpPr txBox="1"/>
          </xdr:nvSpPr>
          <xdr:spPr>
            <a:xfrm>
              <a:off x="8846184" y="769283"/>
              <a:ext cx="537883" cy="18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NGLs</a:t>
              </a:r>
            </a:p>
          </xdr:txBody>
        </xdr:sp>
      </xdr:grpSp>
      <xdr:grpSp>
        <xdr:nvGrpSpPr>
          <xdr:cNvPr id="49172" name="Group 49171">
            <a:hlinkClick xmlns:r="http://schemas.openxmlformats.org/officeDocument/2006/relationships" r:id="rId21"/>
            <a:extLst>
              <a:ext uri="{FF2B5EF4-FFF2-40B4-BE49-F238E27FC236}">
                <a16:creationId xmlns:a16="http://schemas.microsoft.com/office/drawing/2014/main" id="{00000000-0008-0000-0600-000014C00000}"/>
              </a:ext>
            </a:extLst>
          </xdr:cNvPr>
          <xdr:cNvGrpSpPr/>
        </xdr:nvGrpSpPr>
        <xdr:grpSpPr>
          <a:xfrm>
            <a:off x="7963288" y="399140"/>
            <a:ext cx="936684" cy="558403"/>
            <a:chOff x="7252446" y="427715"/>
            <a:chExt cx="932330" cy="558403"/>
          </a:xfrm>
        </xdr:grpSpPr>
        <xdr:pic>
          <xdr:nvPicPr>
            <xdr:cNvPr id="49186" name="Picture 49185">
              <a:extLst>
                <a:ext uri="{FF2B5EF4-FFF2-40B4-BE49-F238E27FC236}">
                  <a16:creationId xmlns:a16="http://schemas.microsoft.com/office/drawing/2014/main" id="{00000000-0008-0000-0600-000022C00000}"/>
                </a:ext>
                <a:ext uri="{147F2762-F138-4A5C-976F-8EAC2B608ADB}">
                  <a16:predDERef xmlns:a16="http://schemas.microsoft.com/office/drawing/2014/main" pred="{EF1B35E2-6469-5D85-6D58-31B6837836BF}"/>
                </a:ext>
              </a:extLst>
            </xdr:cNvPr>
            <xdr:cNvPicPr>
              <a:picLocks noChangeAspect="1"/>
            </xdr:cNvPicPr>
          </xdr:nvPicPr>
          <xdr:blipFill>
            <a:blip xmlns:r="http://schemas.openxmlformats.org/officeDocument/2006/relationships" r:embed="rId22"/>
            <a:stretch>
              <a:fillRect/>
            </a:stretch>
          </xdr:blipFill>
          <xdr:spPr>
            <a:xfrm>
              <a:off x="7404131" y="427715"/>
              <a:ext cx="582522" cy="453422"/>
            </a:xfrm>
            <a:prstGeom prst="rect">
              <a:avLst/>
            </a:prstGeom>
          </xdr:spPr>
        </xdr:pic>
        <xdr:sp macro="" textlink="">
          <xdr:nvSpPr>
            <xdr:cNvPr id="49187" name="TextBox 49186">
              <a:extLst>
                <a:ext uri="{FF2B5EF4-FFF2-40B4-BE49-F238E27FC236}">
                  <a16:creationId xmlns:a16="http://schemas.microsoft.com/office/drawing/2014/main" id="{00000000-0008-0000-0600-000023C00000}"/>
                </a:ext>
              </a:extLst>
            </xdr:cNvPr>
            <xdr:cNvSpPr txBox="1"/>
          </xdr:nvSpPr>
          <xdr:spPr>
            <a:xfrm>
              <a:off x="7252446" y="815785"/>
              <a:ext cx="932330" cy="17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b="0">
                  <a:latin typeface="72 Black" panose="020B0A04030603020204" pitchFamily="34" charset="0"/>
                  <a:cs typeface="72 Black" panose="020B0A04030603020204" pitchFamily="34" charset="0"/>
                </a:rPr>
                <a:t>GAS</a:t>
              </a:r>
              <a:r>
                <a:rPr lang="en-US" sz="900" b="0" baseline="0">
                  <a:latin typeface="72 Black" panose="020B0A04030603020204" pitchFamily="34" charset="0"/>
                  <a:cs typeface="72 Black" panose="020B0A04030603020204" pitchFamily="34" charset="0"/>
                </a:rPr>
                <a:t> &amp; LNG</a:t>
              </a:r>
              <a:endParaRPr lang="en-US" sz="900" b="0">
                <a:latin typeface="72 Black" panose="020B0A04030603020204" pitchFamily="34" charset="0"/>
                <a:cs typeface="72 Black" panose="020B0A04030603020204" pitchFamily="34" charset="0"/>
              </a:endParaRPr>
            </a:p>
          </xdr:txBody>
        </xdr:sp>
      </xdr:grpSp>
      <xdr:grpSp>
        <xdr:nvGrpSpPr>
          <xdr:cNvPr id="49173" name="Group 49172">
            <a:hlinkClick xmlns:r="http://schemas.openxmlformats.org/officeDocument/2006/relationships" r:id="rId23"/>
            <a:extLst>
              <a:ext uri="{FF2B5EF4-FFF2-40B4-BE49-F238E27FC236}">
                <a16:creationId xmlns:a16="http://schemas.microsoft.com/office/drawing/2014/main" id="{00000000-0008-0000-0600-000015C00000}"/>
              </a:ext>
            </a:extLst>
          </xdr:cNvPr>
          <xdr:cNvGrpSpPr/>
        </xdr:nvGrpSpPr>
        <xdr:grpSpPr>
          <a:xfrm>
            <a:off x="10117854" y="449143"/>
            <a:ext cx="952892" cy="517367"/>
            <a:chOff x="9402658" y="477718"/>
            <a:chExt cx="952892" cy="517367"/>
          </a:xfrm>
        </xdr:grpSpPr>
        <xdr:pic>
          <xdr:nvPicPr>
            <xdr:cNvPr id="49184" name="Picture 49183">
              <a:extLst>
                <a:ext uri="{FF2B5EF4-FFF2-40B4-BE49-F238E27FC236}">
                  <a16:creationId xmlns:a16="http://schemas.microsoft.com/office/drawing/2014/main" id="{00000000-0008-0000-0600-000020C00000}"/>
                </a:ext>
              </a:extLst>
            </xdr:cNvPr>
            <xdr:cNvPicPr>
              <a:picLocks noChangeAspect="1"/>
            </xdr:cNvPicPr>
          </xdr:nvPicPr>
          <xdr:blipFill>
            <a:blip xmlns:r="http://schemas.openxmlformats.org/officeDocument/2006/relationships" r:embed="rId24"/>
            <a:stretch>
              <a:fillRect/>
            </a:stretch>
          </xdr:blipFill>
          <xdr:spPr>
            <a:xfrm>
              <a:off x="9525454" y="477718"/>
              <a:ext cx="679846" cy="340639"/>
            </a:xfrm>
            <a:prstGeom prst="rect">
              <a:avLst/>
            </a:prstGeom>
          </xdr:spPr>
        </xdr:pic>
        <xdr:sp macro="" textlink="">
          <xdr:nvSpPr>
            <xdr:cNvPr id="49185" name="TextBox 49184">
              <a:extLst>
                <a:ext uri="{FF2B5EF4-FFF2-40B4-BE49-F238E27FC236}">
                  <a16:creationId xmlns:a16="http://schemas.microsoft.com/office/drawing/2014/main" id="{00000000-0008-0000-0600-000021C00000}"/>
                </a:ext>
              </a:extLst>
            </xdr:cNvPr>
            <xdr:cNvSpPr txBox="1"/>
          </xdr:nvSpPr>
          <xdr:spPr>
            <a:xfrm>
              <a:off x="9402658" y="806825"/>
              <a:ext cx="952892" cy="18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HYDROGEN</a:t>
              </a:r>
            </a:p>
          </xdr:txBody>
        </xdr:sp>
      </xdr:grpSp>
      <xdr:grpSp>
        <xdr:nvGrpSpPr>
          <xdr:cNvPr id="49174" name="Group 49173">
            <a:hlinkClick xmlns:r="http://schemas.openxmlformats.org/officeDocument/2006/relationships" r:id="rId25"/>
            <a:extLst>
              <a:ext uri="{FF2B5EF4-FFF2-40B4-BE49-F238E27FC236}">
                <a16:creationId xmlns:a16="http://schemas.microsoft.com/office/drawing/2014/main" id="{00000000-0008-0000-0600-000016C00000}"/>
              </a:ext>
            </a:extLst>
          </xdr:cNvPr>
          <xdr:cNvGrpSpPr/>
        </xdr:nvGrpSpPr>
        <xdr:grpSpPr>
          <a:xfrm>
            <a:off x="9340366" y="249331"/>
            <a:ext cx="841559" cy="690282"/>
            <a:chOff x="8625170" y="277906"/>
            <a:chExt cx="841559" cy="690282"/>
          </a:xfrm>
        </xdr:grpSpPr>
        <xdr:pic>
          <xdr:nvPicPr>
            <xdr:cNvPr id="49182" name="Picture 49181">
              <a:extLst>
                <a:ext uri="{FF2B5EF4-FFF2-40B4-BE49-F238E27FC236}">
                  <a16:creationId xmlns:a16="http://schemas.microsoft.com/office/drawing/2014/main" id="{00000000-0008-0000-0600-00001EC00000}"/>
                </a:ext>
                <a:ext uri="{147F2762-F138-4A5C-976F-8EAC2B608ADB}">
                  <a16:predDERef xmlns:a16="http://schemas.microsoft.com/office/drawing/2014/main" pred="{C3724981-7622-998F-1DE2-D8A1EDB791C5}"/>
                </a:ext>
              </a:extLst>
            </xdr:cNvPr>
            <xdr:cNvPicPr>
              <a:picLocks noChangeAspect="1"/>
            </xdr:cNvPicPr>
          </xdr:nvPicPr>
          <xdr:blipFill>
            <a:blip xmlns:r="http://schemas.openxmlformats.org/officeDocument/2006/relationships" r:embed="rId26"/>
            <a:stretch>
              <a:fillRect/>
            </a:stretch>
          </xdr:blipFill>
          <xdr:spPr>
            <a:xfrm>
              <a:off x="8686800" y="277906"/>
              <a:ext cx="685800" cy="577215"/>
            </a:xfrm>
            <a:prstGeom prst="rect">
              <a:avLst/>
            </a:prstGeom>
          </xdr:spPr>
        </xdr:pic>
        <xdr:sp macro="" textlink="">
          <xdr:nvSpPr>
            <xdr:cNvPr id="49183" name="TextBox 49182">
              <a:extLst>
                <a:ext uri="{FF2B5EF4-FFF2-40B4-BE49-F238E27FC236}">
                  <a16:creationId xmlns:a16="http://schemas.microsoft.com/office/drawing/2014/main" id="{00000000-0008-0000-0600-00001FC00000}"/>
                </a:ext>
              </a:extLst>
            </xdr:cNvPr>
            <xdr:cNvSpPr txBox="1"/>
          </xdr:nvSpPr>
          <xdr:spPr>
            <a:xfrm>
              <a:off x="8625170" y="808505"/>
              <a:ext cx="841559"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BIOFUELS</a:t>
              </a:r>
            </a:p>
          </xdr:txBody>
        </xdr:sp>
      </xdr:grpSp>
      <xdr:grpSp>
        <xdr:nvGrpSpPr>
          <xdr:cNvPr id="49175" name="Group 49174">
            <a:hlinkClick xmlns:r="http://schemas.openxmlformats.org/officeDocument/2006/relationships" r:id="rId27"/>
            <a:extLst>
              <a:ext uri="{FF2B5EF4-FFF2-40B4-BE49-F238E27FC236}">
                <a16:creationId xmlns:a16="http://schemas.microsoft.com/office/drawing/2014/main" id="{00000000-0008-0000-0600-000017C00000}"/>
              </a:ext>
            </a:extLst>
          </xdr:cNvPr>
          <xdr:cNvGrpSpPr/>
        </xdr:nvGrpSpPr>
        <xdr:grpSpPr>
          <a:xfrm>
            <a:off x="10773597" y="215530"/>
            <a:ext cx="1425389" cy="957239"/>
            <a:chOff x="10094261" y="244105"/>
            <a:chExt cx="1425389" cy="957239"/>
          </a:xfrm>
        </xdr:grpSpPr>
        <xdr:pic>
          <xdr:nvPicPr>
            <xdr:cNvPr id="49180" name="Picture 49179">
              <a:extLst>
                <a:ext uri="{FF2B5EF4-FFF2-40B4-BE49-F238E27FC236}">
                  <a16:creationId xmlns:a16="http://schemas.microsoft.com/office/drawing/2014/main" id="{00000000-0008-0000-0600-00001CC00000}"/>
                </a:ext>
                <a:ext uri="{147F2762-F138-4A5C-976F-8EAC2B608ADB}">
                  <a16:predDERef xmlns:a16="http://schemas.microsoft.com/office/drawing/2014/main" pred="{4BF98531-84AF-FD02-8989-724C2737A24A}"/>
                </a:ext>
              </a:extLst>
            </xdr:cNvPr>
            <xdr:cNvPicPr>
              <a:picLocks noChangeAspect="1"/>
            </xdr:cNvPicPr>
          </xdr:nvPicPr>
          <xdr:blipFill>
            <a:blip xmlns:r="http://schemas.openxmlformats.org/officeDocument/2006/relationships" r:embed="rId28"/>
            <a:stretch>
              <a:fillRect/>
            </a:stretch>
          </xdr:blipFill>
          <xdr:spPr>
            <a:xfrm>
              <a:off x="10548612" y="244105"/>
              <a:ext cx="458002" cy="608284"/>
            </a:xfrm>
            <a:prstGeom prst="rect">
              <a:avLst/>
            </a:prstGeom>
          </xdr:spPr>
        </xdr:pic>
        <xdr:sp macro="" textlink="">
          <xdr:nvSpPr>
            <xdr:cNvPr id="49181" name="TextBox 49180">
              <a:extLst>
                <a:ext uri="{FF2B5EF4-FFF2-40B4-BE49-F238E27FC236}">
                  <a16:creationId xmlns:a16="http://schemas.microsoft.com/office/drawing/2014/main" id="{00000000-0008-0000-0600-00001DC00000}"/>
                </a:ext>
              </a:extLst>
            </xdr:cNvPr>
            <xdr:cNvSpPr txBox="1"/>
          </xdr:nvSpPr>
          <xdr:spPr>
            <a:xfrm>
              <a:off x="10094261" y="797789"/>
              <a:ext cx="1425389" cy="403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LOWER</a:t>
              </a:r>
            </a:p>
            <a:p>
              <a:pPr algn="ctr"/>
              <a:r>
                <a:rPr lang="en-US" sz="1000" b="0" baseline="0">
                  <a:latin typeface="72 Black" panose="020B0A04030603020204" pitchFamily="34" charset="0"/>
                  <a:cs typeface="72 Black" panose="020B0A04030603020204" pitchFamily="34" charset="0"/>
                </a:rPr>
                <a:t> CARBON POWER</a:t>
              </a:r>
              <a:endParaRPr lang="en-US" sz="1000" b="0">
                <a:latin typeface="72 Black" panose="020B0A04030603020204" pitchFamily="34" charset="0"/>
                <a:cs typeface="72 Black" panose="020B0A04030603020204" pitchFamily="34" charset="0"/>
              </a:endParaRPr>
            </a:p>
          </xdr:txBody>
        </xdr:sp>
      </xdr:grpSp>
      <xdr:sp macro="" textlink="">
        <xdr:nvSpPr>
          <xdr:cNvPr id="49176" name="Rectangle: Rounded Corners 49175">
            <a:extLst>
              <a:ext uri="{FF2B5EF4-FFF2-40B4-BE49-F238E27FC236}">
                <a16:creationId xmlns:a16="http://schemas.microsoft.com/office/drawing/2014/main" id="{00000000-0008-0000-0600-000018C00000}"/>
              </a:ext>
            </a:extLst>
          </xdr:cNvPr>
          <xdr:cNvSpPr/>
        </xdr:nvSpPr>
        <xdr:spPr>
          <a:xfrm>
            <a:off x="4868141" y="64241"/>
            <a:ext cx="2230848" cy="1115483"/>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grpSp>
        <xdr:nvGrpSpPr>
          <xdr:cNvPr id="49177" name="Group 49176">
            <a:hlinkClick xmlns:r="http://schemas.openxmlformats.org/officeDocument/2006/relationships" r:id="rId29"/>
            <a:extLst>
              <a:ext uri="{FF2B5EF4-FFF2-40B4-BE49-F238E27FC236}">
                <a16:creationId xmlns:a16="http://schemas.microsoft.com/office/drawing/2014/main" id="{00000000-0008-0000-0600-000019C00000}"/>
              </a:ext>
            </a:extLst>
          </xdr:cNvPr>
          <xdr:cNvGrpSpPr/>
        </xdr:nvGrpSpPr>
        <xdr:grpSpPr>
          <a:xfrm>
            <a:off x="1717819" y="429577"/>
            <a:ext cx="521114" cy="502920"/>
            <a:chOff x="1714500" y="434340"/>
            <a:chExt cx="521114" cy="502920"/>
          </a:xfrm>
        </xdr:grpSpPr>
        <xdr:pic>
          <xdr:nvPicPr>
            <xdr:cNvPr id="49178" name="Picture 49177">
              <a:extLst>
                <a:ext uri="{FF2B5EF4-FFF2-40B4-BE49-F238E27FC236}">
                  <a16:creationId xmlns:a16="http://schemas.microsoft.com/office/drawing/2014/main" id="{00000000-0008-0000-0600-00001AC00000}"/>
                </a:ext>
              </a:extLst>
            </xdr:cNvPr>
            <xdr:cNvPicPr>
              <a:picLocks noChangeAspect="1"/>
            </xdr:cNvPicPr>
          </xdr:nvPicPr>
          <xdr:blipFill>
            <a:blip xmlns:r="http://schemas.openxmlformats.org/officeDocument/2006/relationships" r:embed="rId30"/>
            <a:stretch>
              <a:fillRect/>
            </a:stretch>
          </xdr:blipFill>
          <xdr:spPr>
            <a:xfrm>
              <a:off x="1739946" y="434340"/>
              <a:ext cx="495668" cy="367536"/>
            </a:xfrm>
            <a:prstGeom prst="rect">
              <a:avLst/>
            </a:prstGeom>
          </xdr:spPr>
        </xdr:pic>
        <xdr:sp macro="" textlink="">
          <xdr:nvSpPr>
            <xdr:cNvPr id="49179" name="TextBox 49178">
              <a:extLst>
                <a:ext uri="{FF2B5EF4-FFF2-40B4-BE49-F238E27FC236}">
                  <a16:creationId xmlns:a16="http://schemas.microsoft.com/office/drawing/2014/main" id="{00000000-0008-0000-0600-00001BC00000}"/>
                </a:ext>
              </a:extLst>
            </xdr:cNvPr>
            <xdr:cNvSpPr txBox="1"/>
          </xdr:nvSpPr>
          <xdr:spPr>
            <a:xfrm>
              <a:off x="1714500" y="762000"/>
              <a:ext cx="510540" cy="175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latin typeface="72 Black" panose="020B0A04030603020204" pitchFamily="34" charset="0"/>
                  <a:cs typeface="72 Black" panose="020B0A04030603020204" pitchFamily="34" charset="0"/>
                </a:rPr>
                <a:t>FAQ</a:t>
              </a:r>
            </a:p>
          </xdr:txBody>
        </xdr:sp>
      </xdr:grp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xdr:row>
          <xdr:rowOff>0</xdr:rowOff>
        </xdr:from>
        <xdr:to>
          <xdr:col>1</xdr:col>
          <xdr:colOff>276225</xdr:colOff>
          <xdr:row>3</xdr:row>
          <xdr:rowOff>9525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7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0</xdr:colOff>
      <xdr:row>0</xdr:row>
      <xdr:rowOff>0</xdr:rowOff>
    </xdr:from>
    <xdr:to>
      <xdr:col>5</xdr:col>
      <xdr:colOff>674280</xdr:colOff>
      <xdr:row>0</xdr:row>
      <xdr:rowOff>1190625</xdr:rowOff>
    </xdr:to>
    <xdr:grpSp>
      <xdr:nvGrpSpPr>
        <xdr:cNvPr id="35843" name="Group 35842">
          <a:extLst>
            <a:ext uri="{FF2B5EF4-FFF2-40B4-BE49-F238E27FC236}">
              <a16:creationId xmlns:a16="http://schemas.microsoft.com/office/drawing/2014/main" id="{00000000-0008-0000-0700-0000038C0000}"/>
            </a:ext>
          </a:extLst>
        </xdr:cNvPr>
        <xdr:cNvGrpSpPr/>
      </xdr:nvGrpSpPr>
      <xdr:grpSpPr>
        <a:xfrm>
          <a:off x="0" y="0"/>
          <a:ext cx="12667121" cy="1190625"/>
          <a:chOff x="0" y="0"/>
          <a:chExt cx="12198986" cy="1190625"/>
        </a:xfrm>
      </xdr:grpSpPr>
      <xdr:sp macro="" textlink="">
        <xdr:nvSpPr>
          <xdr:cNvPr id="35844" name="TextBox 35843">
            <a:extLst>
              <a:ext uri="{FF2B5EF4-FFF2-40B4-BE49-F238E27FC236}">
                <a16:creationId xmlns:a16="http://schemas.microsoft.com/office/drawing/2014/main" id="{00000000-0008-0000-0700-0000048C0000}"/>
              </a:ext>
            </a:extLst>
          </xdr:cNvPr>
          <xdr:cNvSpPr txBox="1"/>
        </xdr:nvSpPr>
        <xdr:spPr>
          <a:xfrm>
            <a:off x="849027" y="17369"/>
            <a:ext cx="871625" cy="330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ABOUT</a:t>
            </a:r>
          </a:p>
        </xdr:txBody>
      </xdr:sp>
      <xdr:sp macro="" textlink="">
        <xdr:nvSpPr>
          <xdr:cNvPr id="35845" name="TextBox 35844">
            <a:extLst>
              <a:ext uri="{FF2B5EF4-FFF2-40B4-BE49-F238E27FC236}">
                <a16:creationId xmlns:a16="http://schemas.microsoft.com/office/drawing/2014/main" id="{00000000-0008-0000-0700-0000058C0000}"/>
              </a:ext>
            </a:extLst>
          </xdr:cNvPr>
          <xdr:cNvSpPr txBox="1"/>
        </xdr:nvSpPr>
        <xdr:spPr>
          <a:xfrm>
            <a:off x="4905072" y="0"/>
            <a:ext cx="1460728" cy="336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DASHBOARD</a:t>
            </a:r>
          </a:p>
        </xdr:txBody>
      </xdr:sp>
      <xdr:sp macro="" textlink="">
        <xdr:nvSpPr>
          <xdr:cNvPr id="35846" name="TextBox 35845">
            <a:extLst>
              <a:ext uri="{FF2B5EF4-FFF2-40B4-BE49-F238E27FC236}">
                <a16:creationId xmlns:a16="http://schemas.microsoft.com/office/drawing/2014/main" id="{00000000-0008-0000-0700-0000068C0000}"/>
              </a:ext>
            </a:extLst>
          </xdr:cNvPr>
          <xdr:cNvSpPr txBox="1"/>
        </xdr:nvSpPr>
        <xdr:spPr>
          <a:xfrm>
            <a:off x="7295787" y="9525"/>
            <a:ext cx="1640043" cy="336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CALCULATIONS</a:t>
            </a:r>
          </a:p>
        </xdr:txBody>
      </xdr:sp>
      <xdr:pic>
        <xdr:nvPicPr>
          <xdr:cNvPr id="35847" name="Picture 35846">
            <a:hlinkClick xmlns:r="http://schemas.openxmlformats.org/officeDocument/2006/relationships" r:id="rId1" tooltip="Education"/>
            <a:extLst>
              <a:ext uri="{FF2B5EF4-FFF2-40B4-BE49-F238E27FC236}">
                <a16:creationId xmlns:a16="http://schemas.microsoft.com/office/drawing/2014/main" id="{00000000-0008-0000-0700-0000078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1034" y="300037"/>
            <a:ext cx="781668" cy="762000"/>
          </a:xfrm>
          <a:prstGeom prst="rect">
            <a:avLst/>
          </a:prstGeom>
          <a:ln>
            <a:noFill/>
          </a:ln>
        </xdr:spPr>
      </xdr:pic>
      <xdr:pic>
        <xdr:nvPicPr>
          <xdr:cNvPr id="35848" name="Picture 35847">
            <a:hlinkClick xmlns:r="http://schemas.openxmlformats.org/officeDocument/2006/relationships" r:id="rId3" tooltip="Terms &amp; Conditions"/>
            <a:extLst>
              <a:ext uri="{FF2B5EF4-FFF2-40B4-BE49-F238E27FC236}">
                <a16:creationId xmlns:a16="http://schemas.microsoft.com/office/drawing/2014/main" id="{00000000-0008-0000-0700-0000088C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75950" y="301561"/>
            <a:ext cx="779626" cy="758952"/>
          </a:xfrm>
          <a:prstGeom prst="rect">
            <a:avLst/>
          </a:prstGeom>
          <a:ln>
            <a:noFill/>
          </a:ln>
        </xdr:spPr>
      </xdr:pic>
      <xdr:pic>
        <xdr:nvPicPr>
          <xdr:cNvPr id="35849" name="Picture 35848">
            <a:hlinkClick xmlns:r="http://schemas.openxmlformats.org/officeDocument/2006/relationships" r:id="rId5" tooltip="User Guide"/>
            <a:extLst>
              <a:ext uri="{FF2B5EF4-FFF2-40B4-BE49-F238E27FC236}">
                <a16:creationId xmlns:a16="http://schemas.microsoft.com/office/drawing/2014/main" id="{00000000-0008-0000-0700-0000098C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92593" y="301561"/>
            <a:ext cx="779626" cy="758952"/>
          </a:xfrm>
          <a:prstGeom prst="rect">
            <a:avLst/>
          </a:prstGeom>
        </xdr:spPr>
      </xdr:pic>
      <xdr:pic>
        <xdr:nvPicPr>
          <xdr:cNvPr id="35850" name="Picture 35849">
            <a:hlinkClick xmlns:r="http://schemas.openxmlformats.org/officeDocument/2006/relationships" r:id="rId7" tooltip="Dashboard"/>
            <a:extLst>
              <a:ext uri="{FF2B5EF4-FFF2-40B4-BE49-F238E27FC236}">
                <a16:creationId xmlns:a16="http://schemas.microsoft.com/office/drawing/2014/main" id="{00000000-0008-0000-0700-00000A8C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924641" y="314325"/>
            <a:ext cx="779626" cy="758952"/>
          </a:xfrm>
          <a:prstGeom prst="rect">
            <a:avLst/>
          </a:prstGeom>
        </xdr:spPr>
      </xdr:pic>
      <xdr:pic>
        <xdr:nvPicPr>
          <xdr:cNvPr id="35851" name="Picture 35850">
            <a:hlinkClick xmlns:r="http://schemas.openxmlformats.org/officeDocument/2006/relationships" r:id="rId9" tooltip="Factors"/>
            <a:extLst>
              <a:ext uri="{FF2B5EF4-FFF2-40B4-BE49-F238E27FC236}">
                <a16:creationId xmlns:a16="http://schemas.microsoft.com/office/drawing/2014/main" id="{00000000-0008-0000-0700-00000B8C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323820" y="314325"/>
            <a:ext cx="779626" cy="758952"/>
          </a:xfrm>
          <a:prstGeom prst="rect">
            <a:avLst/>
          </a:prstGeom>
        </xdr:spPr>
      </xdr:pic>
      <xdr:pic>
        <xdr:nvPicPr>
          <xdr:cNvPr id="35852" name="Picture 35851">
            <a:hlinkClick xmlns:r="http://schemas.openxmlformats.org/officeDocument/2006/relationships" r:id="rId11" tooltip="Alternative Calculations"/>
            <a:extLst>
              <a:ext uri="{FF2B5EF4-FFF2-40B4-BE49-F238E27FC236}">
                <a16:creationId xmlns:a16="http://schemas.microsoft.com/office/drawing/2014/main" id="{00000000-0008-0000-0700-00000C8C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678045" y="314325"/>
            <a:ext cx="779626" cy="758952"/>
          </a:xfrm>
          <a:prstGeom prst="rect">
            <a:avLst/>
          </a:prstGeom>
        </xdr:spPr>
      </xdr:pic>
      <xdr:pic>
        <xdr:nvPicPr>
          <xdr:cNvPr id="35853" name="Picture 35852">
            <a:hlinkClick xmlns:r="http://schemas.openxmlformats.org/officeDocument/2006/relationships" r:id="rId13" tooltip="Abbreviations"/>
            <a:extLst>
              <a:ext uri="{FF2B5EF4-FFF2-40B4-BE49-F238E27FC236}">
                <a16:creationId xmlns:a16="http://schemas.microsoft.com/office/drawing/2014/main" id="{00000000-0008-0000-0700-00000D8C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909237" y="301561"/>
            <a:ext cx="783981" cy="758952"/>
          </a:xfrm>
          <a:prstGeom prst="rect">
            <a:avLst/>
          </a:prstGeom>
        </xdr:spPr>
      </xdr:pic>
      <xdr:pic>
        <xdr:nvPicPr>
          <xdr:cNvPr id="35854" name="Picture 35853">
            <a:hlinkClick xmlns:r="http://schemas.openxmlformats.org/officeDocument/2006/relationships" r:id="rId15" tooltip="Oil and Refined Products"/>
            <a:extLst>
              <a:ext uri="{FF2B5EF4-FFF2-40B4-BE49-F238E27FC236}">
                <a16:creationId xmlns:a16="http://schemas.microsoft.com/office/drawing/2014/main" id="{00000000-0008-0000-0700-00000E8C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256651" y="304800"/>
            <a:ext cx="779626" cy="758952"/>
          </a:xfrm>
          <a:prstGeom prst="rect">
            <a:avLst/>
          </a:prstGeom>
        </xdr:spPr>
      </xdr:pic>
      <xdr:sp macro="" textlink="">
        <xdr:nvSpPr>
          <xdr:cNvPr id="35855" name="Rectangle: Rounded Corners 35854">
            <a:extLst>
              <a:ext uri="{FF2B5EF4-FFF2-40B4-BE49-F238E27FC236}">
                <a16:creationId xmlns:a16="http://schemas.microsoft.com/office/drawing/2014/main" id="{00000000-0008-0000-0700-00000F8C0000}"/>
              </a:ext>
            </a:extLst>
          </xdr:cNvPr>
          <xdr:cNvSpPr/>
        </xdr:nvSpPr>
        <xdr:spPr>
          <a:xfrm>
            <a:off x="831680" y="57150"/>
            <a:ext cx="3885100" cy="11334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sp macro="" textlink="">
        <xdr:nvSpPr>
          <xdr:cNvPr id="35856" name="Rectangle: Rounded Corners 35855">
            <a:extLst>
              <a:ext uri="{FF2B5EF4-FFF2-40B4-BE49-F238E27FC236}">
                <a16:creationId xmlns:a16="http://schemas.microsoft.com/office/drawing/2014/main" id="{00000000-0008-0000-0700-0000108C0000}"/>
              </a:ext>
            </a:extLst>
          </xdr:cNvPr>
          <xdr:cNvSpPr/>
        </xdr:nvSpPr>
        <xdr:spPr>
          <a:xfrm>
            <a:off x="7237082" y="47625"/>
            <a:ext cx="4881220" cy="11334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pic>
        <xdr:nvPicPr>
          <xdr:cNvPr id="35857" name="Picture 35856">
            <a:hlinkClick xmlns:r="http://schemas.openxmlformats.org/officeDocument/2006/relationships" r:id="rId17" tooltip="Home"/>
            <a:extLst>
              <a:ext uri="{FF2B5EF4-FFF2-40B4-BE49-F238E27FC236}">
                <a16:creationId xmlns:a16="http://schemas.microsoft.com/office/drawing/2014/main" id="{00000000-0008-0000-0700-0000118C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0" y="323850"/>
            <a:ext cx="779626" cy="758952"/>
          </a:xfrm>
          <a:prstGeom prst="rect">
            <a:avLst/>
          </a:prstGeom>
        </xdr:spPr>
      </xdr:pic>
      <xdr:grpSp>
        <xdr:nvGrpSpPr>
          <xdr:cNvPr id="35858" name="Group 35857">
            <a:extLst>
              <a:ext uri="{FF2B5EF4-FFF2-40B4-BE49-F238E27FC236}">
                <a16:creationId xmlns:a16="http://schemas.microsoft.com/office/drawing/2014/main" id="{00000000-0008-0000-0700-0000128C0000}"/>
              </a:ext>
            </a:extLst>
          </xdr:cNvPr>
          <xdr:cNvGrpSpPr/>
        </xdr:nvGrpSpPr>
        <xdr:grpSpPr>
          <a:xfrm>
            <a:off x="8739731" y="304801"/>
            <a:ext cx="779626" cy="652742"/>
            <a:chOff x="8739731" y="304801"/>
            <a:chExt cx="779626" cy="652742"/>
          </a:xfrm>
        </xdr:grpSpPr>
        <xdr:pic>
          <xdr:nvPicPr>
            <xdr:cNvPr id="35875" name="Picture 35874">
              <a:hlinkClick xmlns:r="http://schemas.openxmlformats.org/officeDocument/2006/relationships" r:id="rId19" tooltip="Gas &amp; LNG"/>
              <a:extLst>
                <a:ext uri="{FF2B5EF4-FFF2-40B4-BE49-F238E27FC236}">
                  <a16:creationId xmlns:a16="http://schemas.microsoft.com/office/drawing/2014/main" id="{00000000-0008-0000-0700-0000238C0000}"/>
                </a:ext>
              </a:extLst>
            </xdr:cNvPr>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b="32893"/>
            <a:stretch/>
          </xdr:blipFill>
          <xdr:spPr>
            <a:xfrm>
              <a:off x="8739731" y="304801"/>
              <a:ext cx="779626" cy="509306"/>
            </a:xfrm>
            <a:prstGeom prst="rect">
              <a:avLst/>
            </a:prstGeom>
          </xdr:spPr>
        </xdr:pic>
        <xdr:sp macro="" textlink="">
          <xdr:nvSpPr>
            <xdr:cNvPr id="35876" name="TextBox 35875">
              <a:extLst>
                <a:ext uri="{FF2B5EF4-FFF2-40B4-BE49-F238E27FC236}">
                  <a16:creationId xmlns:a16="http://schemas.microsoft.com/office/drawing/2014/main" id="{00000000-0008-0000-0700-0000248C0000}"/>
                </a:ext>
              </a:extLst>
            </xdr:cNvPr>
            <xdr:cNvSpPr txBox="1"/>
          </xdr:nvSpPr>
          <xdr:spPr>
            <a:xfrm>
              <a:off x="8846184" y="769283"/>
              <a:ext cx="537883" cy="18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NGLs</a:t>
              </a:r>
            </a:p>
          </xdr:txBody>
        </xdr:sp>
      </xdr:grpSp>
      <xdr:grpSp>
        <xdr:nvGrpSpPr>
          <xdr:cNvPr id="35859" name="Group 35858">
            <a:hlinkClick xmlns:r="http://schemas.openxmlformats.org/officeDocument/2006/relationships" r:id="rId21"/>
            <a:extLst>
              <a:ext uri="{FF2B5EF4-FFF2-40B4-BE49-F238E27FC236}">
                <a16:creationId xmlns:a16="http://schemas.microsoft.com/office/drawing/2014/main" id="{00000000-0008-0000-0700-0000138C0000}"/>
              </a:ext>
            </a:extLst>
          </xdr:cNvPr>
          <xdr:cNvGrpSpPr/>
        </xdr:nvGrpSpPr>
        <xdr:grpSpPr>
          <a:xfrm>
            <a:off x="7963288" y="399140"/>
            <a:ext cx="936684" cy="558403"/>
            <a:chOff x="7252446" y="427715"/>
            <a:chExt cx="932330" cy="558403"/>
          </a:xfrm>
        </xdr:grpSpPr>
        <xdr:pic>
          <xdr:nvPicPr>
            <xdr:cNvPr id="35873" name="Picture 35872">
              <a:extLst>
                <a:ext uri="{FF2B5EF4-FFF2-40B4-BE49-F238E27FC236}">
                  <a16:creationId xmlns:a16="http://schemas.microsoft.com/office/drawing/2014/main" id="{00000000-0008-0000-0700-0000218C0000}"/>
                </a:ext>
                <a:ext uri="{147F2762-F138-4A5C-976F-8EAC2B608ADB}">
                  <a16:predDERef xmlns:a16="http://schemas.microsoft.com/office/drawing/2014/main" pred="{EF1B35E2-6469-5D85-6D58-31B6837836BF}"/>
                </a:ext>
              </a:extLst>
            </xdr:cNvPr>
            <xdr:cNvPicPr>
              <a:picLocks noChangeAspect="1"/>
            </xdr:cNvPicPr>
          </xdr:nvPicPr>
          <xdr:blipFill>
            <a:blip xmlns:r="http://schemas.openxmlformats.org/officeDocument/2006/relationships" r:embed="rId22"/>
            <a:stretch>
              <a:fillRect/>
            </a:stretch>
          </xdr:blipFill>
          <xdr:spPr>
            <a:xfrm>
              <a:off x="7404131" y="427715"/>
              <a:ext cx="582522" cy="453422"/>
            </a:xfrm>
            <a:prstGeom prst="rect">
              <a:avLst/>
            </a:prstGeom>
          </xdr:spPr>
        </xdr:pic>
        <xdr:sp macro="" textlink="">
          <xdr:nvSpPr>
            <xdr:cNvPr id="35874" name="TextBox 35873">
              <a:extLst>
                <a:ext uri="{FF2B5EF4-FFF2-40B4-BE49-F238E27FC236}">
                  <a16:creationId xmlns:a16="http://schemas.microsoft.com/office/drawing/2014/main" id="{00000000-0008-0000-0700-0000228C0000}"/>
                </a:ext>
              </a:extLst>
            </xdr:cNvPr>
            <xdr:cNvSpPr txBox="1"/>
          </xdr:nvSpPr>
          <xdr:spPr>
            <a:xfrm>
              <a:off x="7252446" y="815785"/>
              <a:ext cx="932330" cy="17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b="0">
                  <a:latin typeface="72 Black" panose="020B0A04030603020204" pitchFamily="34" charset="0"/>
                  <a:cs typeface="72 Black" panose="020B0A04030603020204" pitchFamily="34" charset="0"/>
                </a:rPr>
                <a:t>GAS</a:t>
              </a:r>
              <a:r>
                <a:rPr lang="en-US" sz="900" b="0" baseline="0">
                  <a:latin typeface="72 Black" panose="020B0A04030603020204" pitchFamily="34" charset="0"/>
                  <a:cs typeface="72 Black" panose="020B0A04030603020204" pitchFamily="34" charset="0"/>
                </a:rPr>
                <a:t> &amp; LNG</a:t>
              </a:r>
              <a:endParaRPr lang="en-US" sz="900" b="0">
                <a:latin typeface="72 Black" panose="020B0A04030603020204" pitchFamily="34" charset="0"/>
                <a:cs typeface="72 Black" panose="020B0A04030603020204" pitchFamily="34" charset="0"/>
              </a:endParaRPr>
            </a:p>
          </xdr:txBody>
        </xdr:sp>
      </xdr:grpSp>
      <xdr:grpSp>
        <xdr:nvGrpSpPr>
          <xdr:cNvPr id="35860" name="Group 35859">
            <a:hlinkClick xmlns:r="http://schemas.openxmlformats.org/officeDocument/2006/relationships" r:id="rId23"/>
            <a:extLst>
              <a:ext uri="{FF2B5EF4-FFF2-40B4-BE49-F238E27FC236}">
                <a16:creationId xmlns:a16="http://schemas.microsoft.com/office/drawing/2014/main" id="{00000000-0008-0000-0700-0000148C0000}"/>
              </a:ext>
            </a:extLst>
          </xdr:cNvPr>
          <xdr:cNvGrpSpPr/>
        </xdr:nvGrpSpPr>
        <xdr:grpSpPr>
          <a:xfrm>
            <a:off x="10117854" y="449143"/>
            <a:ext cx="952892" cy="517367"/>
            <a:chOff x="9402658" y="477718"/>
            <a:chExt cx="952892" cy="517367"/>
          </a:xfrm>
        </xdr:grpSpPr>
        <xdr:pic>
          <xdr:nvPicPr>
            <xdr:cNvPr id="35871" name="Picture 35870">
              <a:extLst>
                <a:ext uri="{FF2B5EF4-FFF2-40B4-BE49-F238E27FC236}">
                  <a16:creationId xmlns:a16="http://schemas.microsoft.com/office/drawing/2014/main" id="{00000000-0008-0000-0700-00001F8C0000}"/>
                </a:ext>
              </a:extLst>
            </xdr:cNvPr>
            <xdr:cNvPicPr>
              <a:picLocks noChangeAspect="1"/>
            </xdr:cNvPicPr>
          </xdr:nvPicPr>
          <xdr:blipFill>
            <a:blip xmlns:r="http://schemas.openxmlformats.org/officeDocument/2006/relationships" r:embed="rId24"/>
            <a:stretch>
              <a:fillRect/>
            </a:stretch>
          </xdr:blipFill>
          <xdr:spPr>
            <a:xfrm>
              <a:off x="9525454" y="477718"/>
              <a:ext cx="679846" cy="340639"/>
            </a:xfrm>
            <a:prstGeom prst="rect">
              <a:avLst/>
            </a:prstGeom>
          </xdr:spPr>
        </xdr:pic>
        <xdr:sp macro="" textlink="">
          <xdr:nvSpPr>
            <xdr:cNvPr id="35872" name="TextBox 35871">
              <a:extLst>
                <a:ext uri="{FF2B5EF4-FFF2-40B4-BE49-F238E27FC236}">
                  <a16:creationId xmlns:a16="http://schemas.microsoft.com/office/drawing/2014/main" id="{00000000-0008-0000-0700-0000208C0000}"/>
                </a:ext>
              </a:extLst>
            </xdr:cNvPr>
            <xdr:cNvSpPr txBox="1"/>
          </xdr:nvSpPr>
          <xdr:spPr>
            <a:xfrm>
              <a:off x="9402658" y="806825"/>
              <a:ext cx="952892" cy="18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HYDROGEN</a:t>
              </a:r>
            </a:p>
          </xdr:txBody>
        </xdr:sp>
      </xdr:grpSp>
      <xdr:grpSp>
        <xdr:nvGrpSpPr>
          <xdr:cNvPr id="35861" name="Group 35860">
            <a:hlinkClick xmlns:r="http://schemas.openxmlformats.org/officeDocument/2006/relationships" r:id="rId25"/>
            <a:extLst>
              <a:ext uri="{FF2B5EF4-FFF2-40B4-BE49-F238E27FC236}">
                <a16:creationId xmlns:a16="http://schemas.microsoft.com/office/drawing/2014/main" id="{00000000-0008-0000-0700-0000158C0000}"/>
              </a:ext>
            </a:extLst>
          </xdr:cNvPr>
          <xdr:cNvGrpSpPr/>
        </xdr:nvGrpSpPr>
        <xdr:grpSpPr>
          <a:xfrm>
            <a:off x="9340366" y="249331"/>
            <a:ext cx="841559" cy="690282"/>
            <a:chOff x="8625170" y="277906"/>
            <a:chExt cx="841559" cy="690282"/>
          </a:xfrm>
        </xdr:grpSpPr>
        <xdr:pic>
          <xdr:nvPicPr>
            <xdr:cNvPr id="35869" name="Picture 35868">
              <a:extLst>
                <a:ext uri="{FF2B5EF4-FFF2-40B4-BE49-F238E27FC236}">
                  <a16:creationId xmlns:a16="http://schemas.microsoft.com/office/drawing/2014/main" id="{00000000-0008-0000-0700-00001D8C0000}"/>
                </a:ext>
                <a:ext uri="{147F2762-F138-4A5C-976F-8EAC2B608ADB}">
                  <a16:predDERef xmlns:a16="http://schemas.microsoft.com/office/drawing/2014/main" pred="{C3724981-7622-998F-1DE2-D8A1EDB791C5}"/>
                </a:ext>
              </a:extLst>
            </xdr:cNvPr>
            <xdr:cNvPicPr>
              <a:picLocks noChangeAspect="1"/>
            </xdr:cNvPicPr>
          </xdr:nvPicPr>
          <xdr:blipFill>
            <a:blip xmlns:r="http://schemas.openxmlformats.org/officeDocument/2006/relationships" r:embed="rId26"/>
            <a:stretch>
              <a:fillRect/>
            </a:stretch>
          </xdr:blipFill>
          <xdr:spPr>
            <a:xfrm>
              <a:off x="8686800" y="277906"/>
              <a:ext cx="685800" cy="577215"/>
            </a:xfrm>
            <a:prstGeom prst="rect">
              <a:avLst/>
            </a:prstGeom>
          </xdr:spPr>
        </xdr:pic>
        <xdr:sp macro="" textlink="">
          <xdr:nvSpPr>
            <xdr:cNvPr id="35870" name="TextBox 35869">
              <a:extLst>
                <a:ext uri="{FF2B5EF4-FFF2-40B4-BE49-F238E27FC236}">
                  <a16:creationId xmlns:a16="http://schemas.microsoft.com/office/drawing/2014/main" id="{00000000-0008-0000-0700-00001E8C0000}"/>
                </a:ext>
              </a:extLst>
            </xdr:cNvPr>
            <xdr:cNvSpPr txBox="1"/>
          </xdr:nvSpPr>
          <xdr:spPr>
            <a:xfrm>
              <a:off x="8625170" y="808505"/>
              <a:ext cx="841559"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BIOFUELS</a:t>
              </a:r>
            </a:p>
          </xdr:txBody>
        </xdr:sp>
      </xdr:grpSp>
      <xdr:grpSp>
        <xdr:nvGrpSpPr>
          <xdr:cNvPr id="35862" name="Group 35861">
            <a:hlinkClick xmlns:r="http://schemas.openxmlformats.org/officeDocument/2006/relationships" r:id="rId27"/>
            <a:extLst>
              <a:ext uri="{FF2B5EF4-FFF2-40B4-BE49-F238E27FC236}">
                <a16:creationId xmlns:a16="http://schemas.microsoft.com/office/drawing/2014/main" id="{00000000-0008-0000-0700-0000168C0000}"/>
              </a:ext>
            </a:extLst>
          </xdr:cNvPr>
          <xdr:cNvGrpSpPr/>
        </xdr:nvGrpSpPr>
        <xdr:grpSpPr>
          <a:xfrm>
            <a:off x="10773597" y="215530"/>
            <a:ext cx="1425389" cy="957239"/>
            <a:chOff x="10094261" y="244105"/>
            <a:chExt cx="1425389" cy="957239"/>
          </a:xfrm>
        </xdr:grpSpPr>
        <xdr:pic>
          <xdr:nvPicPr>
            <xdr:cNvPr id="35867" name="Picture 35866">
              <a:extLst>
                <a:ext uri="{FF2B5EF4-FFF2-40B4-BE49-F238E27FC236}">
                  <a16:creationId xmlns:a16="http://schemas.microsoft.com/office/drawing/2014/main" id="{00000000-0008-0000-0700-00001B8C0000}"/>
                </a:ext>
                <a:ext uri="{147F2762-F138-4A5C-976F-8EAC2B608ADB}">
                  <a16:predDERef xmlns:a16="http://schemas.microsoft.com/office/drawing/2014/main" pred="{4BF98531-84AF-FD02-8989-724C2737A24A}"/>
                </a:ext>
              </a:extLst>
            </xdr:cNvPr>
            <xdr:cNvPicPr>
              <a:picLocks noChangeAspect="1"/>
            </xdr:cNvPicPr>
          </xdr:nvPicPr>
          <xdr:blipFill>
            <a:blip xmlns:r="http://schemas.openxmlformats.org/officeDocument/2006/relationships" r:embed="rId28"/>
            <a:stretch>
              <a:fillRect/>
            </a:stretch>
          </xdr:blipFill>
          <xdr:spPr>
            <a:xfrm>
              <a:off x="10548612" y="244105"/>
              <a:ext cx="458002" cy="608284"/>
            </a:xfrm>
            <a:prstGeom prst="rect">
              <a:avLst/>
            </a:prstGeom>
          </xdr:spPr>
        </xdr:pic>
        <xdr:sp macro="" textlink="">
          <xdr:nvSpPr>
            <xdr:cNvPr id="35868" name="TextBox 35867">
              <a:extLst>
                <a:ext uri="{FF2B5EF4-FFF2-40B4-BE49-F238E27FC236}">
                  <a16:creationId xmlns:a16="http://schemas.microsoft.com/office/drawing/2014/main" id="{00000000-0008-0000-0700-00001C8C0000}"/>
                </a:ext>
              </a:extLst>
            </xdr:cNvPr>
            <xdr:cNvSpPr txBox="1"/>
          </xdr:nvSpPr>
          <xdr:spPr>
            <a:xfrm>
              <a:off x="10094261" y="797789"/>
              <a:ext cx="1425389" cy="403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LOWER</a:t>
              </a:r>
            </a:p>
            <a:p>
              <a:pPr algn="ctr"/>
              <a:r>
                <a:rPr lang="en-US" sz="1000" b="0" baseline="0">
                  <a:latin typeface="72 Black" panose="020B0A04030603020204" pitchFamily="34" charset="0"/>
                  <a:cs typeface="72 Black" panose="020B0A04030603020204" pitchFamily="34" charset="0"/>
                </a:rPr>
                <a:t> CARBON POWER</a:t>
              </a:r>
              <a:endParaRPr lang="en-US" sz="1000" b="0">
                <a:latin typeface="72 Black" panose="020B0A04030603020204" pitchFamily="34" charset="0"/>
                <a:cs typeface="72 Black" panose="020B0A04030603020204" pitchFamily="34" charset="0"/>
              </a:endParaRPr>
            </a:p>
          </xdr:txBody>
        </xdr:sp>
      </xdr:grpSp>
      <xdr:sp macro="" textlink="">
        <xdr:nvSpPr>
          <xdr:cNvPr id="35863" name="Rectangle: Rounded Corners 35862">
            <a:extLst>
              <a:ext uri="{FF2B5EF4-FFF2-40B4-BE49-F238E27FC236}">
                <a16:creationId xmlns:a16="http://schemas.microsoft.com/office/drawing/2014/main" id="{00000000-0008-0000-0700-0000178C0000}"/>
              </a:ext>
            </a:extLst>
          </xdr:cNvPr>
          <xdr:cNvSpPr/>
        </xdr:nvSpPr>
        <xdr:spPr>
          <a:xfrm>
            <a:off x="4868141" y="64241"/>
            <a:ext cx="2230848" cy="1115483"/>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grpSp>
        <xdr:nvGrpSpPr>
          <xdr:cNvPr id="35864" name="Group 35863">
            <a:hlinkClick xmlns:r="http://schemas.openxmlformats.org/officeDocument/2006/relationships" r:id="rId29"/>
            <a:extLst>
              <a:ext uri="{FF2B5EF4-FFF2-40B4-BE49-F238E27FC236}">
                <a16:creationId xmlns:a16="http://schemas.microsoft.com/office/drawing/2014/main" id="{00000000-0008-0000-0700-0000188C0000}"/>
              </a:ext>
            </a:extLst>
          </xdr:cNvPr>
          <xdr:cNvGrpSpPr/>
        </xdr:nvGrpSpPr>
        <xdr:grpSpPr>
          <a:xfrm>
            <a:off x="1717819" y="429577"/>
            <a:ext cx="521114" cy="502920"/>
            <a:chOff x="1714500" y="434340"/>
            <a:chExt cx="521114" cy="502920"/>
          </a:xfrm>
        </xdr:grpSpPr>
        <xdr:pic>
          <xdr:nvPicPr>
            <xdr:cNvPr id="35865" name="Picture 35864">
              <a:extLst>
                <a:ext uri="{FF2B5EF4-FFF2-40B4-BE49-F238E27FC236}">
                  <a16:creationId xmlns:a16="http://schemas.microsoft.com/office/drawing/2014/main" id="{00000000-0008-0000-0700-0000198C0000}"/>
                </a:ext>
              </a:extLst>
            </xdr:cNvPr>
            <xdr:cNvPicPr>
              <a:picLocks noChangeAspect="1"/>
            </xdr:cNvPicPr>
          </xdr:nvPicPr>
          <xdr:blipFill>
            <a:blip xmlns:r="http://schemas.openxmlformats.org/officeDocument/2006/relationships" r:embed="rId30"/>
            <a:stretch>
              <a:fillRect/>
            </a:stretch>
          </xdr:blipFill>
          <xdr:spPr>
            <a:xfrm>
              <a:off x="1739946" y="434340"/>
              <a:ext cx="495668" cy="367536"/>
            </a:xfrm>
            <a:prstGeom prst="rect">
              <a:avLst/>
            </a:prstGeom>
          </xdr:spPr>
        </xdr:pic>
        <xdr:sp macro="" textlink="">
          <xdr:nvSpPr>
            <xdr:cNvPr id="35866" name="TextBox 35865">
              <a:extLst>
                <a:ext uri="{FF2B5EF4-FFF2-40B4-BE49-F238E27FC236}">
                  <a16:creationId xmlns:a16="http://schemas.microsoft.com/office/drawing/2014/main" id="{00000000-0008-0000-0700-00001A8C0000}"/>
                </a:ext>
              </a:extLst>
            </xdr:cNvPr>
            <xdr:cNvSpPr txBox="1"/>
          </xdr:nvSpPr>
          <xdr:spPr>
            <a:xfrm>
              <a:off x="1714500" y="762000"/>
              <a:ext cx="510540" cy="175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latin typeface="72 Black" panose="020B0A04030603020204" pitchFamily="34" charset="0"/>
                  <a:cs typeface="72 Black" panose="020B0A04030603020204" pitchFamily="34" charset="0"/>
                </a:rPr>
                <a:t>FAQ</a:t>
              </a:r>
            </a:p>
          </xdr:txBody>
        </xdr:sp>
      </xdr:grp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447675</xdr:colOff>
          <xdr:row>15</xdr:row>
          <xdr:rowOff>171450</xdr:rowOff>
        </xdr:from>
        <xdr:to>
          <xdr:col>6</xdr:col>
          <xdr:colOff>657225</xdr:colOff>
          <xdr:row>17</xdr:row>
          <xdr:rowOff>142875</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8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6</xdr:col>
      <xdr:colOff>1142366</xdr:colOff>
      <xdr:row>0</xdr:row>
      <xdr:rowOff>1190625</xdr:rowOff>
    </xdr:to>
    <xdr:grpSp>
      <xdr:nvGrpSpPr>
        <xdr:cNvPr id="19459" name="Group 19458">
          <a:extLst>
            <a:ext uri="{FF2B5EF4-FFF2-40B4-BE49-F238E27FC236}">
              <a16:creationId xmlns:a16="http://schemas.microsoft.com/office/drawing/2014/main" id="{00000000-0008-0000-0800-0000034C0000}"/>
            </a:ext>
          </a:extLst>
        </xdr:cNvPr>
        <xdr:cNvGrpSpPr/>
      </xdr:nvGrpSpPr>
      <xdr:grpSpPr>
        <a:xfrm>
          <a:off x="0" y="0"/>
          <a:ext cx="11894315" cy="1190625"/>
          <a:chOff x="0" y="0"/>
          <a:chExt cx="12198986" cy="1190625"/>
        </a:xfrm>
      </xdr:grpSpPr>
      <xdr:sp macro="" textlink="">
        <xdr:nvSpPr>
          <xdr:cNvPr id="19460" name="TextBox 19459">
            <a:extLst>
              <a:ext uri="{FF2B5EF4-FFF2-40B4-BE49-F238E27FC236}">
                <a16:creationId xmlns:a16="http://schemas.microsoft.com/office/drawing/2014/main" id="{00000000-0008-0000-0800-0000044C0000}"/>
              </a:ext>
            </a:extLst>
          </xdr:cNvPr>
          <xdr:cNvSpPr txBox="1"/>
        </xdr:nvSpPr>
        <xdr:spPr>
          <a:xfrm>
            <a:off x="849027" y="17369"/>
            <a:ext cx="871625" cy="330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ABOUT</a:t>
            </a:r>
          </a:p>
        </xdr:txBody>
      </xdr:sp>
      <xdr:sp macro="" textlink="">
        <xdr:nvSpPr>
          <xdr:cNvPr id="19461" name="TextBox 19460">
            <a:extLst>
              <a:ext uri="{FF2B5EF4-FFF2-40B4-BE49-F238E27FC236}">
                <a16:creationId xmlns:a16="http://schemas.microsoft.com/office/drawing/2014/main" id="{00000000-0008-0000-0800-0000054C0000}"/>
              </a:ext>
            </a:extLst>
          </xdr:cNvPr>
          <xdr:cNvSpPr txBox="1"/>
        </xdr:nvSpPr>
        <xdr:spPr>
          <a:xfrm>
            <a:off x="4905072" y="0"/>
            <a:ext cx="1460728" cy="336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DASHBOARD</a:t>
            </a:r>
          </a:p>
        </xdr:txBody>
      </xdr:sp>
      <xdr:sp macro="" textlink="">
        <xdr:nvSpPr>
          <xdr:cNvPr id="19462" name="TextBox 19461">
            <a:extLst>
              <a:ext uri="{FF2B5EF4-FFF2-40B4-BE49-F238E27FC236}">
                <a16:creationId xmlns:a16="http://schemas.microsoft.com/office/drawing/2014/main" id="{00000000-0008-0000-0800-0000064C0000}"/>
              </a:ext>
            </a:extLst>
          </xdr:cNvPr>
          <xdr:cNvSpPr txBox="1"/>
        </xdr:nvSpPr>
        <xdr:spPr>
          <a:xfrm>
            <a:off x="7295787" y="9525"/>
            <a:ext cx="1640043" cy="336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CALCULATIONS</a:t>
            </a:r>
          </a:p>
        </xdr:txBody>
      </xdr:sp>
      <xdr:pic>
        <xdr:nvPicPr>
          <xdr:cNvPr id="19463" name="Picture 19462">
            <a:hlinkClick xmlns:r="http://schemas.openxmlformats.org/officeDocument/2006/relationships" r:id="rId1" tooltip="Education"/>
            <a:extLst>
              <a:ext uri="{FF2B5EF4-FFF2-40B4-BE49-F238E27FC236}">
                <a16:creationId xmlns:a16="http://schemas.microsoft.com/office/drawing/2014/main" id="{00000000-0008-0000-0800-0000074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1034" y="300037"/>
            <a:ext cx="781668" cy="762000"/>
          </a:xfrm>
          <a:prstGeom prst="rect">
            <a:avLst/>
          </a:prstGeom>
          <a:ln>
            <a:noFill/>
          </a:ln>
        </xdr:spPr>
      </xdr:pic>
      <xdr:pic>
        <xdr:nvPicPr>
          <xdr:cNvPr id="19464" name="Picture 19463">
            <a:hlinkClick xmlns:r="http://schemas.openxmlformats.org/officeDocument/2006/relationships" r:id="rId3" tooltip="Terms &amp; Conditions"/>
            <a:extLst>
              <a:ext uri="{FF2B5EF4-FFF2-40B4-BE49-F238E27FC236}">
                <a16:creationId xmlns:a16="http://schemas.microsoft.com/office/drawing/2014/main" id="{00000000-0008-0000-0800-0000084C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75950" y="301561"/>
            <a:ext cx="779626" cy="758952"/>
          </a:xfrm>
          <a:prstGeom prst="rect">
            <a:avLst/>
          </a:prstGeom>
          <a:ln>
            <a:noFill/>
          </a:ln>
        </xdr:spPr>
      </xdr:pic>
      <xdr:pic>
        <xdr:nvPicPr>
          <xdr:cNvPr id="19465" name="Picture 19464">
            <a:hlinkClick xmlns:r="http://schemas.openxmlformats.org/officeDocument/2006/relationships" r:id="rId5" tooltip="User Guide"/>
            <a:extLst>
              <a:ext uri="{FF2B5EF4-FFF2-40B4-BE49-F238E27FC236}">
                <a16:creationId xmlns:a16="http://schemas.microsoft.com/office/drawing/2014/main" id="{00000000-0008-0000-0800-0000094C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92593" y="301561"/>
            <a:ext cx="779626" cy="758952"/>
          </a:xfrm>
          <a:prstGeom prst="rect">
            <a:avLst/>
          </a:prstGeom>
        </xdr:spPr>
      </xdr:pic>
      <xdr:pic>
        <xdr:nvPicPr>
          <xdr:cNvPr id="19466" name="Picture 19465">
            <a:hlinkClick xmlns:r="http://schemas.openxmlformats.org/officeDocument/2006/relationships" r:id="rId7" tooltip="Dashboard"/>
            <a:extLst>
              <a:ext uri="{FF2B5EF4-FFF2-40B4-BE49-F238E27FC236}">
                <a16:creationId xmlns:a16="http://schemas.microsoft.com/office/drawing/2014/main" id="{00000000-0008-0000-0800-00000A4C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924641" y="314325"/>
            <a:ext cx="779626" cy="758952"/>
          </a:xfrm>
          <a:prstGeom prst="rect">
            <a:avLst/>
          </a:prstGeom>
        </xdr:spPr>
      </xdr:pic>
      <xdr:pic>
        <xdr:nvPicPr>
          <xdr:cNvPr id="19467" name="Picture 19466">
            <a:hlinkClick xmlns:r="http://schemas.openxmlformats.org/officeDocument/2006/relationships" r:id="rId9" tooltip="Factors"/>
            <a:extLst>
              <a:ext uri="{FF2B5EF4-FFF2-40B4-BE49-F238E27FC236}">
                <a16:creationId xmlns:a16="http://schemas.microsoft.com/office/drawing/2014/main" id="{00000000-0008-0000-0800-00000B4C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323820" y="314325"/>
            <a:ext cx="779626" cy="758952"/>
          </a:xfrm>
          <a:prstGeom prst="rect">
            <a:avLst/>
          </a:prstGeom>
        </xdr:spPr>
      </xdr:pic>
      <xdr:pic>
        <xdr:nvPicPr>
          <xdr:cNvPr id="19468" name="Picture 19467">
            <a:hlinkClick xmlns:r="http://schemas.openxmlformats.org/officeDocument/2006/relationships" r:id="rId11" tooltip="Alternative Calculations"/>
            <a:extLst>
              <a:ext uri="{FF2B5EF4-FFF2-40B4-BE49-F238E27FC236}">
                <a16:creationId xmlns:a16="http://schemas.microsoft.com/office/drawing/2014/main" id="{00000000-0008-0000-0800-00000C4C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678045" y="314325"/>
            <a:ext cx="779626" cy="758952"/>
          </a:xfrm>
          <a:prstGeom prst="rect">
            <a:avLst/>
          </a:prstGeom>
        </xdr:spPr>
      </xdr:pic>
      <xdr:pic>
        <xdr:nvPicPr>
          <xdr:cNvPr id="19469" name="Picture 19468">
            <a:hlinkClick xmlns:r="http://schemas.openxmlformats.org/officeDocument/2006/relationships" r:id="rId13" tooltip="Abbreviations"/>
            <a:extLst>
              <a:ext uri="{FF2B5EF4-FFF2-40B4-BE49-F238E27FC236}">
                <a16:creationId xmlns:a16="http://schemas.microsoft.com/office/drawing/2014/main" id="{00000000-0008-0000-0800-00000D4C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909237" y="301561"/>
            <a:ext cx="783981" cy="758952"/>
          </a:xfrm>
          <a:prstGeom prst="rect">
            <a:avLst/>
          </a:prstGeom>
        </xdr:spPr>
      </xdr:pic>
      <xdr:pic>
        <xdr:nvPicPr>
          <xdr:cNvPr id="19470" name="Picture 19469">
            <a:hlinkClick xmlns:r="http://schemas.openxmlformats.org/officeDocument/2006/relationships" r:id="rId15" tooltip="Oil and Refined Products"/>
            <a:extLst>
              <a:ext uri="{FF2B5EF4-FFF2-40B4-BE49-F238E27FC236}">
                <a16:creationId xmlns:a16="http://schemas.microsoft.com/office/drawing/2014/main" id="{00000000-0008-0000-0800-00000E4C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256651" y="304800"/>
            <a:ext cx="779626" cy="758952"/>
          </a:xfrm>
          <a:prstGeom prst="rect">
            <a:avLst/>
          </a:prstGeom>
        </xdr:spPr>
      </xdr:pic>
      <xdr:sp macro="" textlink="">
        <xdr:nvSpPr>
          <xdr:cNvPr id="19472" name="Rectangle: Rounded Corners 19471">
            <a:extLst>
              <a:ext uri="{FF2B5EF4-FFF2-40B4-BE49-F238E27FC236}">
                <a16:creationId xmlns:a16="http://schemas.microsoft.com/office/drawing/2014/main" id="{00000000-0008-0000-0800-0000104C0000}"/>
              </a:ext>
            </a:extLst>
          </xdr:cNvPr>
          <xdr:cNvSpPr/>
        </xdr:nvSpPr>
        <xdr:spPr>
          <a:xfrm>
            <a:off x="831680" y="57150"/>
            <a:ext cx="3885100" cy="11334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sp macro="" textlink="">
        <xdr:nvSpPr>
          <xdr:cNvPr id="19473" name="Rectangle: Rounded Corners 19472">
            <a:extLst>
              <a:ext uri="{FF2B5EF4-FFF2-40B4-BE49-F238E27FC236}">
                <a16:creationId xmlns:a16="http://schemas.microsoft.com/office/drawing/2014/main" id="{00000000-0008-0000-0800-0000114C0000}"/>
              </a:ext>
            </a:extLst>
          </xdr:cNvPr>
          <xdr:cNvSpPr/>
        </xdr:nvSpPr>
        <xdr:spPr>
          <a:xfrm>
            <a:off x="7237082" y="47625"/>
            <a:ext cx="4881220" cy="11334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pic>
        <xdr:nvPicPr>
          <xdr:cNvPr id="19474" name="Picture 19473">
            <a:hlinkClick xmlns:r="http://schemas.openxmlformats.org/officeDocument/2006/relationships" r:id="rId17" tooltip="Home"/>
            <a:extLst>
              <a:ext uri="{FF2B5EF4-FFF2-40B4-BE49-F238E27FC236}">
                <a16:creationId xmlns:a16="http://schemas.microsoft.com/office/drawing/2014/main" id="{00000000-0008-0000-0800-0000124C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0" y="323850"/>
            <a:ext cx="779626" cy="758952"/>
          </a:xfrm>
          <a:prstGeom prst="rect">
            <a:avLst/>
          </a:prstGeom>
        </xdr:spPr>
      </xdr:pic>
      <xdr:grpSp>
        <xdr:nvGrpSpPr>
          <xdr:cNvPr id="19475" name="Group 19474">
            <a:extLst>
              <a:ext uri="{FF2B5EF4-FFF2-40B4-BE49-F238E27FC236}">
                <a16:creationId xmlns:a16="http://schemas.microsoft.com/office/drawing/2014/main" id="{00000000-0008-0000-0800-0000134C0000}"/>
              </a:ext>
            </a:extLst>
          </xdr:cNvPr>
          <xdr:cNvGrpSpPr/>
        </xdr:nvGrpSpPr>
        <xdr:grpSpPr>
          <a:xfrm>
            <a:off x="8739731" y="304801"/>
            <a:ext cx="779626" cy="652742"/>
            <a:chOff x="8739731" y="304801"/>
            <a:chExt cx="779626" cy="652742"/>
          </a:xfrm>
        </xdr:grpSpPr>
        <xdr:pic>
          <xdr:nvPicPr>
            <xdr:cNvPr id="19492" name="Picture 19491">
              <a:hlinkClick xmlns:r="http://schemas.openxmlformats.org/officeDocument/2006/relationships" r:id="rId19" tooltip="Gas &amp; LNG"/>
              <a:extLst>
                <a:ext uri="{FF2B5EF4-FFF2-40B4-BE49-F238E27FC236}">
                  <a16:creationId xmlns:a16="http://schemas.microsoft.com/office/drawing/2014/main" id="{00000000-0008-0000-0800-0000244C0000}"/>
                </a:ext>
              </a:extLst>
            </xdr:cNvPr>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b="32893"/>
            <a:stretch/>
          </xdr:blipFill>
          <xdr:spPr>
            <a:xfrm>
              <a:off x="8739731" y="304801"/>
              <a:ext cx="779626" cy="509306"/>
            </a:xfrm>
            <a:prstGeom prst="rect">
              <a:avLst/>
            </a:prstGeom>
          </xdr:spPr>
        </xdr:pic>
        <xdr:sp macro="" textlink="">
          <xdr:nvSpPr>
            <xdr:cNvPr id="19493" name="TextBox 19492">
              <a:extLst>
                <a:ext uri="{FF2B5EF4-FFF2-40B4-BE49-F238E27FC236}">
                  <a16:creationId xmlns:a16="http://schemas.microsoft.com/office/drawing/2014/main" id="{00000000-0008-0000-0800-0000254C0000}"/>
                </a:ext>
              </a:extLst>
            </xdr:cNvPr>
            <xdr:cNvSpPr txBox="1"/>
          </xdr:nvSpPr>
          <xdr:spPr>
            <a:xfrm>
              <a:off x="8846184" y="769283"/>
              <a:ext cx="537883" cy="18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NGLs</a:t>
              </a:r>
            </a:p>
          </xdr:txBody>
        </xdr:sp>
      </xdr:grpSp>
      <xdr:grpSp>
        <xdr:nvGrpSpPr>
          <xdr:cNvPr id="19476" name="Group 19475">
            <a:hlinkClick xmlns:r="http://schemas.openxmlformats.org/officeDocument/2006/relationships" r:id="rId21"/>
            <a:extLst>
              <a:ext uri="{FF2B5EF4-FFF2-40B4-BE49-F238E27FC236}">
                <a16:creationId xmlns:a16="http://schemas.microsoft.com/office/drawing/2014/main" id="{00000000-0008-0000-0800-0000144C0000}"/>
              </a:ext>
            </a:extLst>
          </xdr:cNvPr>
          <xdr:cNvGrpSpPr/>
        </xdr:nvGrpSpPr>
        <xdr:grpSpPr>
          <a:xfrm>
            <a:off x="7963288" y="399140"/>
            <a:ext cx="936684" cy="558403"/>
            <a:chOff x="7252446" y="427715"/>
            <a:chExt cx="932330" cy="558403"/>
          </a:xfrm>
        </xdr:grpSpPr>
        <xdr:pic>
          <xdr:nvPicPr>
            <xdr:cNvPr id="19490" name="Picture 19489">
              <a:extLst>
                <a:ext uri="{FF2B5EF4-FFF2-40B4-BE49-F238E27FC236}">
                  <a16:creationId xmlns:a16="http://schemas.microsoft.com/office/drawing/2014/main" id="{00000000-0008-0000-0800-0000224C0000}"/>
                </a:ext>
                <a:ext uri="{147F2762-F138-4A5C-976F-8EAC2B608ADB}">
                  <a16:predDERef xmlns:a16="http://schemas.microsoft.com/office/drawing/2014/main" pred="{EF1B35E2-6469-5D85-6D58-31B6837836BF}"/>
                </a:ext>
              </a:extLst>
            </xdr:cNvPr>
            <xdr:cNvPicPr>
              <a:picLocks noChangeAspect="1"/>
            </xdr:cNvPicPr>
          </xdr:nvPicPr>
          <xdr:blipFill>
            <a:blip xmlns:r="http://schemas.openxmlformats.org/officeDocument/2006/relationships" r:embed="rId22"/>
            <a:stretch>
              <a:fillRect/>
            </a:stretch>
          </xdr:blipFill>
          <xdr:spPr>
            <a:xfrm>
              <a:off x="7404131" y="427715"/>
              <a:ext cx="582522" cy="453422"/>
            </a:xfrm>
            <a:prstGeom prst="rect">
              <a:avLst/>
            </a:prstGeom>
          </xdr:spPr>
        </xdr:pic>
        <xdr:sp macro="" textlink="">
          <xdr:nvSpPr>
            <xdr:cNvPr id="19491" name="TextBox 19490">
              <a:extLst>
                <a:ext uri="{FF2B5EF4-FFF2-40B4-BE49-F238E27FC236}">
                  <a16:creationId xmlns:a16="http://schemas.microsoft.com/office/drawing/2014/main" id="{00000000-0008-0000-0800-0000234C0000}"/>
                </a:ext>
              </a:extLst>
            </xdr:cNvPr>
            <xdr:cNvSpPr txBox="1"/>
          </xdr:nvSpPr>
          <xdr:spPr>
            <a:xfrm>
              <a:off x="7252446" y="815785"/>
              <a:ext cx="932330" cy="17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b="0">
                  <a:latin typeface="72 Black" panose="020B0A04030603020204" pitchFamily="34" charset="0"/>
                  <a:cs typeface="72 Black" panose="020B0A04030603020204" pitchFamily="34" charset="0"/>
                </a:rPr>
                <a:t>GAS</a:t>
              </a:r>
              <a:r>
                <a:rPr lang="en-US" sz="900" b="0" baseline="0">
                  <a:latin typeface="72 Black" panose="020B0A04030603020204" pitchFamily="34" charset="0"/>
                  <a:cs typeface="72 Black" panose="020B0A04030603020204" pitchFamily="34" charset="0"/>
                </a:rPr>
                <a:t> &amp; LNG</a:t>
              </a:r>
              <a:endParaRPr lang="en-US" sz="900" b="0">
                <a:latin typeface="72 Black" panose="020B0A04030603020204" pitchFamily="34" charset="0"/>
                <a:cs typeface="72 Black" panose="020B0A04030603020204" pitchFamily="34" charset="0"/>
              </a:endParaRPr>
            </a:p>
          </xdr:txBody>
        </xdr:sp>
      </xdr:grpSp>
      <xdr:grpSp>
        <xdr:nvGrpSpPr>
          <xdr:cNvPr id="19477" name="Group 19476">
            <a:hlinkClick xmlns:r="http://schemas.openxmlformats.org/officeDocument/2006/relationships" r:id="rId23"/>
            <a:extLst>
              <a:ext uri="{FF2B5EF4-FFF2-40B4-BE49-F238E27FC236}">
                <a16:creationId xmlns:a16="http://schemas.microsoft.com/office/drawing/2014/main" id="{00000000-0008-0000-0800-0000154C0000}"/>
              </a:ext>
            </a:extLst>
          </xdr:cNvPr>
          <xdr:cNvGrpSpPr/>
        </xdr:nvGrpSpPr>
        <xdr:grpSpPr>
          <a:xfrm>
            <a:off x="10117854" y="449143"/>
            <a:ext cx="952892" cy="517367"/>
            <a:chOff x="9402658" y="477718"/>
            <a:chExt cx="952892" cy="517367"/>
          </a:xfrm>
        </xdr:grpSpPr>
        <xdr:pic>
          <xdr:nvPicPr>
            <xdr:cNvPr id="19488" name="Picture 19487">
              <a:extLst>
                <a:ext uri="{FF2B5EF4-FFF2-40B4-BE49-F238E27FC236}">
                  <a16:creationId xmlns:a16="http://schemas.microsoft.com/office/drawing/2014/main" id="{00000000-0008-0000-0800-0000204C0000}"/>
                </a:ext>
              </a:extLst>
            </xdr:cNvPr>
            <xdr:cNvPicPr>
              <a:picLocks noChangeAspect="1"/>
            </xdr:cNvPicPr>
          </xdr:nvPicPr>
          <xdr:blipFill>
            <a:blip xmlns:r="http://schemas.openxmlformats.org/officeDocument/2006/relationships" r:embed="rId24"/>
            <a:stretch>
              <a:fillRect/>
            </a:stretch>
          </xdr:blipFill>
          <xdr:spPr>
            <a:xfrm>
              <a:off x="9525454" y="477718"/>
              <a:ext cx="679846" cy="340639"/>
            </a:xfrm>
            <a:prstGeom prst="rect">
              <a:avLst/>
            </a:prstGeom>
          </xdr:spPr>
        </xdr:pic>
        <xdr:sp macro="" textlink="">
          <xdr:nvSpPr>
            <xdr:cNvPr id="19489" name="TextBox 19488">
              <a:extLst>
                <a:ext uri="{FF2B5EF4-FFF2-40B4-BE49-F238E27FC236}">
                  <a16:creationId xmlns:a16="http://schemas.microsoft.com/office/drawing/2014/main" id="{00000000-0008-0000-0800-0000214C0000}"/>
                </a:ext>
              </a:extLst>
            </xdr:cNvPr>
            <xdr:cNvSpPr txBox="1"/>
          </xdr:nvSpPr>
          <xdr:spPr>
            <a:xfrm>
              <a:off x="9402658" y="806825"/>
              <a:ext cx="952892" cy="18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HYDROGEN</a:t>
              </a:r>
            </a:p>
          </xdr:txBody>
        </xdr:sp>
      </xdr:grpSp>
      <xdr:grpSp>
        <xdr:nvGrpSpPr>
          <xdr:cNvPr id="19478" name="Group 19477">
            <a:hlinkClick xmlns:r="http://schemas.openxmlformats.org/officeDocument/2006/relationships" r:id="rId25"/>
            <a:extLst>
              <a:ext uri="{FF2B5EF4-FFF2-40B4-BE49-F238E27FC236}">
                <a16:creationId xmlns:a16="http://schemas.microsoft.com/office/drawing/2014/main" id="{00000000-0008-0000-0800-0000164C0000}"/>
              </a:ext>
            </a:extLst>
          </xdr:cNvPr>
          <xdr:cNvGrpSpPr/>
        </xdr:nvGrpSpPr>
        <xdr:grpSpPr>
          <a:xfrm>
            <a:off x="9340366" y="249331"/>
            <a:ext cx="841559" cy="690282"/>
            <a:chOff x="8625170" y="277906"/>
            <a:chExt cx="841559" cy="690282"/>
          </a:xfrm>
        </xdr:grpSpPr>
        <xdr:pic>
          <xdr:nvPicPr>
            <xdr:cNvPr id="19486" name="Picture 19485">
              <a:extLst>
                <a:ext uri="{FF2B5EF4-FFF2-40B4-BE49-F238E27FC236}">
                  <a16:creationId xmlns:a16="http://schemas.microsoft.com/office/drawing/2014/main" id="{00000000-0008-0000-0800-00001E4C0000}"/>
                </a:ext>
                <a:ext uri="{147F2762-F138-4A5C-976F-8EAC2B608ADB}">
                  <a16:predDERef xmlns:a16="http://schemas.microsoft.com/office/drawing/2014/main" pred="{C3724981-7622-998F-1DE2-D8A1EDB791C5}"/>
                </a:ext>
              </a:extLst>
            </xdr:cNvPr>
            <xdr:cNvPicPr>
              <a:picLocks noChangeAspect="1"/>
            </xdr:cNvPicPr>
          </xdr:nvPicPr>
          <xdr:blipFill>
            <a:blip xmlns:r="http://schemas.openxmlformats.org/officeDocument/2006/relationships" r:embed="rId26"/>
            <a:stretch>
              <a:fillRect/>
            </a:stretch>
          </xdr:blipFill>
          <xdr:spPr>
            <a:xfrm>
              <a:off x="8686800" y="277906"/>
              <a:ext cx="685800" cy="577215"/>
            </a:xfrm>
            <a:prstGeom prst="rect">
              <a:avLst/>
            </a:prstGeom>
          </xdr:spPr>
        </xdr:pic>
        <xdr:sp macro="" textlink="">
          <xdr:nvSpPr>
            <xdr:cNvPr id="19487" name="TextBox 19486">
              <a:extLst>
                <a:ext uri="{FF2B5EF4-FFF2-40B4-BE49-F238E27FC236}">
                  <a16:creationId xmlns:a16="http://schemas.microsoft.com/office/drawing/2014/main" id="{00000000-0008-0000-0800-00001F4C0000}"/>
                </a:ext>
              </a:extLst>
            </xdr:cNvPr>
            <xdr:cNvSpPr txBox="1"/>
          </xdr:nvSpPr>
          <xdr:spPr>
            <a:xfrm>
              <a:off x="8625170" y="808505"/>
              <a:ext cx="841559"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BIOFUELS</a:t>
              </a:r>
            </a:p>
          </xdr:txBody>
        </xdr:sp>
      </xdr:grpSp>
      <xdr:grpSp>
        <xdr:nvGrpSpPr>
          <xdr:cNvPr id="19479" name="Group 19478">
            <a:hlinkClick xmlns:r="http://schemas.openxmlformats.org/officeDocument/2006/relationships" r:id="rId27"/>
            <a:extLst>
              <a:ext uri="{FF2B5EF4-FFF2-40B4-BE49-F238E27FC236}">
                <a16:creationId xmlns:a16="http://schemas.microsoft.com/office/drawing/2014/main" id="{00000000-0008-0000-0800-0000174C0000}"/>
              </a:ext>
            </a:extLst>
          </xdr:cNvPr>
          <xdr:cNvGrpSpPr/>
        </xdr:nvGrpSpPr>
        <xdr:grpSpPr>
          <a:xfrm>
            <a:off x="10773597" y="215530"/>
            <a:ext cx="1425389" cy="957239"/>
            <a:chOff x="10094261" y="244105"/>
            <a:chExt cx="1425389" cy="957239"/>
          </a:xfrm>
        </xdr:grpSpPr>
        <xdr:pic>
          <xdr:nvPicPr>
            <xdr:cNvPr id="19484" name="Picture 19483">
              <a:extLst>
                <a:ext uri="{FF2B5EF4-FFF2-40B4-BE49-F238E27FC236}">
                  <a16:creationId xmlns:a16="http://schemas.microsoft.com/office/drawing/2014/main" id="{00000000-0008-0000-0800-00001C4C0000}"/>
                </a:ext>
                <a:ext uri="{147F2762-F138-4A5C-976F-8EAC2B608ADB}">
                  <a16:predDERef xmlns:a16="http://schemas.microsoft.com/office/drawing/2014/main" pred="{4BF98531-84AF-FD02-8989-724C2737A24A}"/>
                </a:ext>
              </a:extLst>
            </xdr:cNvPr>
            <xdr:cNvPicPr>
              <a:picLocks noChangeAspect="1"/>
            </xdr:cNvPicPr>
          </xdr:nvPicPr>
          <xdr:blipFill>
            <a:blip xmlns:r="http://schemas.openxmlformats.org/officeDocument/2006/relationships" r:embed="rId28"/>
            <a:stretch>
              <a:fillRect/>
            </a:stretch>
          </xdr:blipFill>
          <xdr:spPr>
            <a:xfrm>
              <a:off x="10548612" y="244105"/>
              <a:ext cx="458002" cy="608284"/>
            </a:xfrm>
            <a:prstGeom prst="rect">
              <a:avLst/>
            </a:prstGeom>
          </xdr:spPr>
        </xdr:pic>
        <xdr:sp macro="" textlink="">
          <xdr:nvSpPr>
            <xdr:cNvPr id="19485" name="TextBox 19484">
              <a:extLst>
                <a:ext uri="{FF2B5EF4-FFF2-40B4-BE49-F238E27FC236}">
                  <a16:creationId xmlns:a16="http://schemas.microsoft.com/office/drawing/2014/main" id="{00000000-0008-0000-0800-00001D4C0000}"/>
                </a:ext>
              </a:extLst>
            </xdr:cNvPr>
            <xdr:cNvSpPr txBox="1"/>
          </xdr:nvSpPr>
          <xdr:spPr>
            <a:xfrm>
              <a:off x="10094261" y="797789"/>
              <a:ext cx="1425389" cy="403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LOWER</a:t>
              </a:r>
            </a:p>
            <a:p>
              <a:pPr algn="ctr"/>
              <a:r>
                <a:rPr lang="en-US" sz="1000" b="0" baseline="0">
                  <a:latin typeface="72 Black" panose="020B0A04030603020204" pitchFamily="34" charset="0"/>
                  <a:cs typeface="72 Black" panose="020B0A04030603020204" pitchFamily="34" charset="0"/>
                </a:rPr>
                <a:t> CARBON POWER</a:t>
              </a:r>
              <a:endParaRPr lang="en-US" sz="1000" b="0">
                <a:latin typeface="72 Black" panose="020B0A04030603020204" pitchFamily="34" charset="0"/>
                <a:cs typeface="72 Black" panose="020B0A04030603020204" pitchFamily="34" charset="0"/>
              </a:endParaRPr>
            </a:p>
          </xdr:txBody>
        </xdr:sp>
      </xdr:grpSp>
      <xdr:sp macro="" textlink="">
        <xdr:nvSpPr>
          <xdr:cNvPr id="19480" name="Rectangle: Rounded Corners 19479">
            <a:extLst>
              <a:ext uri="{FF2B5EF4-FFF2-40B4-BE49-F238E27FC236}">
                <a16:creationId xmlns:a16="http://schemas.microsoft.com/office/drawing/2014/main" id="{00000000-0008-0000-0800-0000184C0000}"/>
              </a:ext>
            </a:extLst>
          </xdr:cNvPr>
          <xdr:cNvSpPr/>
        </xdr:nvSpPr>
        <xdr:spPr>
          <a:xfrm>
            <a:off x="4868141" y="64241"/>
            <a:ext cx="2230848" cy="1115483"/>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grpSp>
        <xdr:nvGrpSpPr>
          <xdr:cNvPr id="19481" name="Group 19480">
            <a:hlinkClick xmlns:r="http://schemas.openxmlformats.org/officeDocument/2006/relationships" r:id="rId29"/>
            <a:extLst>
              <a:ext uri="{FF2B5EF4-FFF2-40B4-BE49-F238E27FC236}">
                <a16:creationId xmlns:a16="http://schemas.microsoft.com/office/drawing/2014/main" id="{00000000-0008-0000-0800-0000194C0000}"/>
              </a:ext>
            </a:extLst>
          </xdr:cNvPr>
          <xdr:cNvGrpSpPr/>
        </xdr:nvGrpSpPr>
        <xdr:grpSpPr>
          <a:xfrm>
            <a:off x="1717819" y="429577"/>
            <a:ext cx="521114" cy="502920"/>
            <a:chOff x="1714500" y="434340"/>
            <a:chExt cx="521114" cy="502920"/>
          </a:xfrm>
        </xdr:grpSpPr>
        <xdr:pic>
          <xdr:nvPicPr>
            <xdr:cNvPr id="19482" name="Picture 19481">
              <a:extLst>
                <a:ext uri="{FF2B5EF4-FFF2-40B4-BE49-F238E27FC236}">
                  <a16:creationId xmlns:a16="http://schemas.microsoft.com/office/drawing/2014/main" id="{00000000-0008-0000-0800-00001A4C0000}"/>
                </a:ext>
              </a:extLst>
            </xdr:cNvPr>
            <xdr:cNvPicPr>
              <a:picLocks noChangeAspect="1"/>
            </xdr:cNvPicPr>
          </xdr:nvPicPr>
          <xdr:blipFill>
            <a:blip xmlns:r="http://schemas.openxmlformats.org/officeDocument/2006/relationships" r:embed="rId30"/>
            <a:stretch>
              <a:fillRect/>
            </a:stretch>
          </xdr:blipFill>
          <xdr:spPr>
            <a:xfrm>
              <a:off x="1739946" y="434340"/>
              <a:ext cx="495668" cy="367536"/>
            </a:xfrm>
            <a:prstGeom prst="rect">
              <a:avLst/>
            </a:prstGeom>
          </xdr:spPr>
        </xdr:pic>
        <xdr:sp macro="" textlink="">
          <xdr:nvSpPr>
            <xdr:cNvPr id="19483" name="TextBox 19482">
              <a:extLst>
                <a:ext uri="{FF2B5EF4-FFF2-40B4-BE49-F238E27FC236}">
                  <a16:creationId xmlns:a16="http://schemas.microsoft.com/office/drawing/2014/main" id="{00000000-0008-0000-0800-00001B4C0000}"/>
                </a:ext>
              </a:extLst>
            </xdr:cNvPr>
            <xdr:cNvSpPr txBox="1"/>
          </xdr:nvSpPr>
          <xdr:spPr>
            <a:xfrm>
              <a:off x="1714500" y="762000"/>
              <a:ext cx="510540" cy="175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latin typeface="72 Black" panose="020B0A04030603020204" pitchFamily="34" charset="0"/>
                  <a:cs typeface="72 Black" panose="020B0A04030603020204" pitchFamily="34" charset="0"/>
                </a:rPr>
                <a:t>FAQ</a:t>
              </a: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1468937</xdr:colOff>
      <xdr:row>0</xdr:row>
      <xdr:rowOff>1190625</xdr:rowOff>
    </xdr:to>
    <xdr:grpSp>
      <xdr:nvGrpSpPr>
        <xdr:cNvPr id="67" name="Group 66">
          <a:extLst>
            <a:ext uri="{FF2B5EF4-FFF2-40B4-BE49-F238E27FC236}">
              <a16:creationId xmlns:a16="http://schemas.microsoft.com/office/drawing/2014/main" id="{00000000-0008-0000-0900-000043000000}"/>
            </a:ext>
          </a:extLst>
        </xdr:cNvPr>
        <xdr:cNvGrpSpPr/>
      </xdr:nvGrpSpPr>
      <xdr:grpSpPr>
        <a:xfrm>
          <a:off x="0" y="0"/>
          <a:ext cx="11898812" cy="1190625"/>
          <a:chOff x="0" y="0"/>
          <a:chExt cx="12198986" cy="1190625"/>
        </a:xfrm>
      </xdr:grpSpPr>
      <xdr:sp macro="" textlink="">
        <xdr:nvSpPr>
          <xdr:cNvPr id="68" name="TextBox 67">
            <a:extLst>
              <a:ext uri="{FF2B5EF4-FFF2-40B4-BE49-F238E27FC236}">
                <a16:creationId xmlns:a16="http://schemas.microsoft.com/office/drawing/2014/main" id="{00000000-0008-0000-0900-000044000000}"/>
              </a:ext>
            </a:extLst>
          </xdr:cNvPr>
          <xdr:cNvSpPr txBox="1"/>
        </xdr:nvSpPr>
        <xdr:spPr>
          <a:xfrm>
            <a:off x="849027" y="17369"/>
            <a:ext cx="871625" cy="330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ABOUT</a:t>
            </a:r>
          </a:p>
        </xdr:txBody>
      </xdr:sp>
      <xdr:sp macro="" textlink="">
        <xdr:nvSpPr>
          <xdr:cNvPr id="69" name="TextBox 68">
            <a:extLst>
              <a:ext uri="{FF2B5EF4-FFF2-40B4-BE49-F238E27FC236}">
                <a16:creationId xmlns:a16="http://schemas.microsoft.com/office/drawing/2014/main" id="{00000000-0008-0000-0900-000045000000}"/>
              </a:ext>
            </a:extLst>
          </xdr:cNvPr>
          <xdr:cNvSpPr txBox="1"/>
        </xdr:nvSpPr>
        <xdr:spPr>
          <a:xfrm>
            <a:off x="4905072" y="0"/>
            <a:ext cx="1460728" cy="336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DASHBOARD</a:t>
            </a:r>
          </a:p>
        </xdr:txBody>
      </xdr:sp>
      <xdr:sp macro="" textlink="">
        <xdr:nvSpPr>
          <xdr:cNvPr id="70" name="TextBox 69">
            <a:extLst>
              <a:ext uri="{FF2B5EF4-FFF2-40B4-BE49-F238E27FC236}">
                <a16:creationId xmlns:a16="http://schemas.microsoft.com/office/drawing/2014/main" id="{00000000-0008-0000-0900-000046000000}"/>
              </a:ext>
            </a:extLst>
          </xdr:cNvPr>
          <xdr:cNvSpPr txBox="1"/>
        </xdr:nvSpPr>
        <xdr:spPr>
          <a:xfrm>
            <a:off x="7295787" y="9525"/>
            <a:ext cx="1640043" cy="336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CALCULATIONS</a:t>
            </a:r>
          </a:p>
        </xdr:txBody>
      </xdr:sp>
      <xdr:pic>
        <xdr:nvPicPr>
          <xdr:cNvPr id="71" name="Picture 70">
            <a:hlinkClick xmlns:r="http://schemas.openxmlformats.org/officeDocument/2006/relationships" r:id="rId1" tooltip="Education"/>
            <a:extLst>
              <a:ext uri="{FF2B5EF4-FFF2-40B4-BE49-F238E27FC236}">
                <a16:creationId xmlns:a16="http://schemas.microsoft.com/office/drawing/2014/main" id="{00000000-0008-0000-0900-00004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1034" y="300037"/>
            <a:ext cx="781668" cy="762000"/>
          </a:xfrm>
          <a:prstGeom prst="rect">
            <a:avLst/>
          </a:prstGeom>
          <a:ln>
            <a:noFill/>
          </a:ln>
        </xdr:spPr>
      </xdr:pic>
      <xdr:pic>
        <xdr:nvPicPr>
          <xdr:cNvPr id="72" name="Picture 71">
            <a:hlinkClick xmlns:r="http://schemas.openxmlformats.org/officeDocument/2006/relationships" r:id="rId3" tooltip="Terms &amp; Conditions"/>
            <a:extLst>
              <a:ext uri="{FF2B5EF4-FFF2-40B4-BE49-F238E27FC236}">
                <a16:creationId xmlns:a16="http://schemas.microsoft.com/office/drawing/2014/main" id="{00000000-0008-0000-0900-00004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75950" y="301561"/>
            <a:ext cx="779626" cy="758952"/>
          </a:xfrm>
          <a:prstGeom prst="rect">
            <a:avLst/>
          </a:prstGeom>
          <a:ln>
            <a:noFill/>
          </a:ln>
        </xdr:spPr>
      </xdr:pic>
      <xdr:pic>
        <xdr:nvPicPr>
          <xdr:cNvPr id="73" name="Picture 72">
            <a:hlinkClick xmlns:r="http://schemas.openxmlformats.org/officeDocument/2006/relationships" r:id="rId5" tooltip="User Guide"/>
            <a:extLst>
              <a:ext uri="{FF2B5EF4-FFF2-40B4-BE49-F238E27FC236}">
                <a16:creationId xmlns:a16="http://schemas.microsoft.com/office/drawing/2014/main" id="{00000000-0008-0000-0900-00004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92593" y="301561"/>
            <a:ext cx="779626" cy="758952"/>
          </a:xfrm>
          <a:prstGeom prst="rect">
            <a:avLst/>
          </a:prstGeom>
        </xdr:spPr>
      </xdr:pic>
      <xdr:pic>
        <xdr:nvPicPr>
          <xdr:cNvPr id="74" name="Picture 73">
            <a:hlinkClick xmlns:r="http://schemas.openxmlformats.org/officeDocument/2006/relationships" r:id="rId7" tooltip="Dashboard"/>
            <a:extLst>
              <a:ext uri="{FF2B5EF4-FFF2-40B4-BE49-F238E27FC236}">
                <a16:creationId xmlns:a16="http://schemas.microsoft.com/office/drawing/2014/main" id="{00000000-0008-0000-0900-00004A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924641" y="314325"/>
            <a:ext cx="779626" cy="758952"/>
          </a:xfrm>
          <a:prstGeom prst="rect">
            <a:avLst/>
          </a:prstGeom>
        </xdr:spPr>
      </xdr:pic>
      <xdr:pic>
        <xdr:nvPicPr>
          <xdr:cNvPr id="75" name="Picture 74">
            <a:hlinkClick xmlns:r="http://schemas.openxmlformats.org/officeDocument/2006/relationships" r:id="rId9" tooltip="Factors"/>
            <a:extLst>
              <a:ext uri="{FF2B5EF4-FFF2-40B4-BE49-F238E27FC236}">
                <a16:creationId xmlns:a16="http://schemas.microsoft.com/office/drawing/2014/main" id="{00000000-0008-0000-0900-00004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323820" y="314325"/>
            <a:ext cx="779626" cy="758952"/>
          </a:xfrm>
          <a:prstGeom prst="rect">
            <a:avLst/>
          </a:prstGeom>
        </xdr:spPr>
      </xdr:pic>
      <xdr:pic>
        <xdr:nvPicPr>
          <xdr:cNvPr id="76" name="Picture 75">
            <a:hlinkClick xmlns:r="http://schemas.openxmlformats.org/officeDocument/2006/relationships" r:id="rId11" tooltip="Alternative Calculations"/>
            <a:extLst>
              <a:ext uri="{FF2B5EF4-FFF2-40B4-BE49-F238E27FC236}">
                <a16:creationId xmlns:a16="http://schemas.microsoft.com/office/drawing/2014/main" id="{00000000-0008-0000-0900-00004C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678045" y="314325"/>
            <a:ext cx="779626" cy="758952"/>
          </a:xfrm>
          <a:prstGeom prst="rect">
            <a:avLst/>
          </a:prstGeom>
        </xdr:spPr>
      </xdr:pic>
      <xdr:pic>
        <xdr:nvPicPr>
          <xdr:cNvPr id="77" name="Picture 76">
            <a:hlinkClick xmlns:r="http://schemas.openxmlformats.org/officeDocument/2006/relationships" r:id="rId13" tooltip="Abbreviations"/>
            <a:extLst>
              <a:ext uri="{FF2B5EF4-FFF2-40B4-BE49-F238E27FC236}">
                <a16:creationId xmlns:a16="http://schemas.microsoft.com/office/drawing/2014/main" id="{00000000-0008-0000-0900-00004D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909237" y="301561"/>
            <a:ext cx="783981" cy="758952"/>
          </a:xfrm>
          <a:prstGeom prst="rect">
            <a:avLst/>
          </a:prstGeom>
        </xdr:spPr>
      </xdr:pic>
      <xdr:pic>
        <xdr:nvPicPr>
          <xdr:cNvPr id="78" name="Picture 77">
            <a:hlinkClick xmlns:r="http://schemas.openxmlformats.org/officeDocument/2006/relationships" r:id="rId15" tooltip="Oil and Refined Products"/>
            <a:extLst>
              <a:ext uri="{FF2B5EF4-FFF2-40B4-BE49-F238E27FC236}">
                <a16:creationId xmlns:a16="http://schemas.microsoft.com/office/drawing/2014/main" id="{00000000-0008-0000-0900-00004E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256651" y="304800"/>
            <a:ext cx="779626" cy="758952"/>
          </a:xfrm>
          <a:prstGeom prst="rect">
            <a:avLst/>
          </a:prstGeom>
        </xdr:spPr>
      </xdr:pic>
      <xdr:sp macro="" textlink="">
        <xdr:nvSpPr>
          <xdr:cNvPr id="79" name="Rectangle: Rounded Corners 78">
            <a:extLst>
              <a:ext uri="{FF2B5EF4-FFF2-40B4-BE49-F238E27FC236}">
                <a16:creationId xmlns:a16="http://schemas.microsoft.com/office/drawing/2014/main" id="{00000000-0008-0000-0900-00004F000000}"/>
              </a:ext>
            </a:extLst>
          </xdr:cNvPr>
          <xdr:cNvSpPr/>
        </xdr:nvSpPr>
        <xdr:spPr>
          <a:xfrm>
            <a:off x="831680" y="57150"/>
            <a:ext cx="3885100" cy="11334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sp macro="" textlink="">
        <xdr:nvSpPr>
          <xdr:cNvPr id="80" name="Rectangle: Rounded Corners 79">
            <a:extLst>
              <a:ext uri="{FF2B5EF4-FFF2-40B4-BE49-F238E27FC236}">
                <a16:creationId xmlns:a16="http://schemas.microsoft.com/office/drawing/2014/main" id="{00000000-0008-0000-0900-000050000000}"/>
              </a:ext>
            </a:extLst>
          </xdr:cNvPr>
          <xdr:cNvSpPr/>
        </xdr:nvSpPr>
        <xdr:spPr>
          <a:xfrm>
            <a:off x="7237082" y="47625"/>
            <a:ext cx="4881220" cy="11334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pic>
        <xdr:nvPicPr>
          <xdr:cNvPr id="81" name="Picture 80">
            <a:hlinkClick xmlns:r="http://schemas.openxmlformats.org/officeDocument/2006/relationships" r:id="rId17" tooltip="Home"/>
            <a:extLst>
              <a:ext uri="{FF2B5EF4-FFF2-40B4-BE49-F238E27FC236}">
                <a16:creationId xmlns:a16="http://schemas.microsoft.com/office/drawing/2014/main" id="{00000000-0008-0000-0900-000051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0" y="323850"/>
            <a:ext cx="779626" cy="758952"/>
          </a:xfrm>
          <a:prstGeom prst="rect">
            <a:avLst/>
          </a:prstGeom>
        </xdr:spPr>
      </xdr:pic>
      <xdr:grpSp>
        <xdr:nvGrpSpPr>
          <xdr:cNvPr id="82" name="Group 81">
            <a:extLst>
              <a:ext uri="{FF2B5EF4-FFF2-40B4-BE49-F238E27FC236}">
                <a16:creationId xmlns:a16="http://schemas.microsoft.com/office/drawing/2014/main" id="{00000000-0008-0000-0900-000052000000}"/>
              </a:ext>
            </a:extLst>
          </xdr:cNvPr>
          <xdr:cNvGrpSpPr/>
        </xdr:nvGrpSpPr>
        <xdr:grpSpPr>
          <a:xfrm>
            <a:off x="8739731" y="304801"/>
            <a:ext cx="779626" cy="652742"/>
            <a:chOff x="8739731" y="304801"/>
            <a:chExt cx="779626" cy="652742"/>
          </a:xfrm>
        </xdr:grpSpPr>
        <xdr:pic>
          <xdr:nvPicPr>
            <xdr:cNvPr id="99" name="Picture 98">
              <a:hlinkClick xmlns:r="http://schemas.openxmlformats.org/officeDocument/2006/relationships" r:id="rId19" tooltip="Gas &amp; LNG"/>
              <a:extLst>
                <a:ext uri="{FF2B5EF4-FFF2-40B4-BE49-F238E27FC236}">
                  <a16:creationId xmlns:a16="http://schemas.microsoft.com/office/drawing/2014/main" id="{00000000-0008-0000-0900-000063000000}"/>
                </a:ext>
              </a:extLst>
            </xdr:cNvPr>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b="32893"/>
            <a:stretch/>
          </xdr:blipFill>
          <xdr:spPr>
            <a:xfrm>
              <a:off x="8739731" y="304801"/>
              <a:ext cx="779626" cy="509306"/>
            </a:xfrm>
            <a:prstGeom prst="rect">
              <a:avLst/>
            </a:prstGeom>
          </xdr:spPr>
        </xdr:pic>
        <xdr:sp macro="" textlink="">
          <xdr:nvSpPr>
            <xdr:cNvPr id="100" name="TextBox 99">
              <a:extLst>
                <a:ext uri="{FF2B5EF4-FFF2-40B4-BE49-F238E27FC236}">
                  <a16:creationId xmlns:a16="http://schemas.microsoft.com/office/drawing/2014/main" id="{00000000-0008-0000-0900-000064000000}"/>
                </a:ext>
              </a:extLst>
            </xdr:cNvPr>
            <xdr:cNvSpPr txBox="1"/>
          </xdr:nvSpPr>
          <xdr:spPr>
            <a:xfrm>
              <a:off x="8846184" y="769283"/>
              <a:ext cx="537883" cy="18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NGLs</a:t>
              </a:r>
            </a:p>
          </xdr:txBody>
        </xdr:sp>
      </xdr:grpSp>
      <xdr:grpSp>
        <xdr:nvGrpSpPr>
          <xdr:cNvPr id="83" name="Group 82">
            <a:hlinkClick xmlns:r="http://schemas.openxmlformats.org/officeDocument/2006/relationships" r:id="rId21"/>
            <a:extLst>
              <a:ext uri="{FF2B5EF4-FFF2-40B4-BE49-F238E27FC236}">
                <a16:creationId xmlns:a16="http://schemas.microsoft.com/office/drawing/2014/main" id="{00000000-0008-0000-0900-000053000000}"/>
              </a:ext>
            </a:extLst>
          </xdr:cNvPr>
          <xdr:cNvGrpSpPr/>
        </xdr:nvGrpSpPr>
        <xdr:grpSpPr>
          <a:xfrm>
            <a:off x="7963288" y="399140"/>
            <a:ext cx="936684" cy="558403"/>
            <a:chOff x="7252446" y="427715"/>
            <a:chExt cx="932330" cy="558403"/>
          </a:xfrm>
        </xdr:grpSpPr>
        <xdr:pic>
          <xdr:nvPicPr>
            <xdr:cNvPr id="97" name="Picture 96">
              <a:extLst>
                <a:ext uri="{FF2B5EF4-FFF2-40B4-BE49-F238E27FC236}">
                  <a16:creationId xmlns:a16="http://schemas.microsoft.com/office/drawing/2014/main" id="{00000000-0008-0000-0900-000061000000}"/>
                </a:ext>
                <a:ext uri="{147F2762-F138-4A5C-976F-8EAC2B608ADB}">
                  <a16:predDERef xmlns:a16="http://schemas.microsoft.com/office/drawing/2014/main" pred="{EF1B35E2-6469-5D85-6D58-31B6837836BF}"/>
                </a:ext>
              </a:extLst>
            </xdr:cNvPr>
            <xdr:cNvPicPr>
              <a:picLocks noChangeAspect="1"/>
            </xdr:cNvPicPr>
          </xdr:nvPicPr>
          <xdr:blipFill>
            <a:blip xmlns:r="http://schemas.openxmlformats.org/officeDocument/2006/relationships" r:embed="rId22"/>
            <a:stretch>
              <a:fillRect/>
            </a:stretch>
          </xdr:blipFill>
          <xdr:spPr>
            <a:xfrm>
              <a:off x="7404131" y="427715"/>
              <a:ext cx="582522" cy="453422"/>
            </a:xfrm>
            <a:prstGeom prst="rect">
              <a:avLst/>
            </a:prstGeom>
          </xdr:spPr>
        </xdr:pic>
        <xdr:sp macro="" textlink="">
          <xdr:nvSpPr>
            <xdr:cNvPr id="98" name="TextBox 97">
              <a:extLst>
                <a:ext uri="{FF2B5EF4-FFF2-40B4-BE49-F238E27FC236}">
                  <a16:creationId xmlns:a16="http://schemas.microsoft.com/office/drawing/2014/main" id="{00000000-0008-0000-0900-000062000000}"/>
                </a:ext>
              </a:extLst>
            </xdr:cNvPr>
            <xdr:cNvSpPr txBox="1"/>
          </xdr:nvSpPr>
          <xdr:spPr>
            <a:xfrm>
              <a:off x="7252446" y="815785"/>
              <a:ext cx="932330" cy="17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b="0">
                  <a:latin typeface="72 Black" panose="020B0A04030603020204" pitchFamily="34" charset="0"/>
                  <a:cs typeface="72 Black" panose="020B0A04030603020204" pitchFamily="34" charset="0"/>
                </a:rPr>
                <a:t>GAS</a:t>
              </a:r>
              <a:r>
                <a:rPr lang="en-US" sz="900" b="0" baseline="0">
                  <a:latin typeface="72 Black" panose="020B0A04030603020204" pitchFamily="34" charset="0"/>
                  <a:cs typeface="72 Black" panose="020B0A04030603020204" pitchFamily="34" charset="0"/>
                </a:rPr>
                <a:t> &amp; LNG</a:t>
              </a:r>
              <a:endParaRPr lang="en-US" sz="900" b="0">
                <a:latin typeface="72 Black" panose="020B0A04030603020204" pitchFamily="34" charset="0"/>
                <a:cs typeface="72 Black" panose="020B0A04030603020204" pitchFamily="34" charset="0"/>
              </a:endParaRPr>
            </a:p>
          </xdr:txBody>
        </xdr:sp>
      </xdr:grpSp>
      <xdr:grpSp>
        <xdr:nvGrpSpPr>
          <xdr:cNvPr id="84" name="Group 83">
            <a:hlinkClick xmlns:r="http://schemas.openxmlformats.org/officeDocument/2006/relationships" r:id="rId23"/>
            <a:extLst>
              <a:ext uri="{FF2B5EF4-FFF2-40B4-BE49-F238E27FC236}">
                <a16:creationId xmlns:a16="http://schemas.microsoft.com/office/drawing/2014/main" id="{00000000-0008-0000-0900-000054000000}"/>
              </a:ext>
            </a:extLst>
          </xdr:cNvPr>
          <xdr:cNvGrpSpPr/>
        </xdr:nvGrpSpPr>
        <xdr:grpSpPr>
          <a:xfrm>
            <a:off x="10117854" y="449143"/>
            <a:ext cx="952892" cy="517367"/>
            <a:chOff x="9402658" y="477718"/>
            <a:chExt cx="952892" cy="517367"/>
          </a:xfrm>
        </xdr:grpSpPr>
        <xdr:pic>
          <xdr:nvPicPr>
            <xdr:cNvPr id="95" name="Picture 94">
              <a:extLst>
                <a:ext uri="{FF2B5EF4-FFF2-40B4-BE49-F238E27FC236}">
                  <a16:creationId xmlns:a16="http://schemas.microsoft.com/office/drawing/2014/main" id="{00000000-0008-0000-0900-00005F000000}"/>
                </a:ext>
              </a:extLst>
            </xdr:cNvPr>
            <xdr:cNvPicPr>
              <a:picLocks noChangeAspect="1"/>
            </xdr:cNvPicPr>
          </xdr:nvPicPr>
          <xdr:blipFill>
            <a:blip xmlns:r="http://schemas.openxmlformats.org/officeDocument/2006/relationships" r:embed="rId24"/>
            <a:stretch>
              <a:fillRect/>
            </a:stretch>
          </xdr:blipFill>
          <xdr:spPr>
            <a:xfrm>
              <a:off x="9525454" y="477718"/>
              <a:ext cx="679846" cy="340639"/>
            </a:xfrm>
            <a:prstGeom prst="rect">
              <a:avLst/>
            </a:prstGeom>
          </xdr:spPr>
        </xdr:pic>
        <xdr:sp macro="" textlink="">
          <xdr:nvSpPr>
            <xdr:cNvPr id="96" name="TextBox 95">
              <a:extLst>
                <a:ext uri="{FF2B5EF4-FFF2-40B4-BE49-F238E27FC236}">
                  <a16:creationId xmlns:a16="http://schemas.microsoft.com/office/drawing/2014/main" id="{00000000-0008-0000-0900-000060000000}"/>
                </a:ext>
              </a:extLst>
            </xdr:cNvPr>
            <xdr:cNvSpPr txBox="1"/>
          </xdr:nvSpPr>
          <xdr:spPr>
            <a:xfrm>
              <a:off x="9402658" y="806825"/>
              <a:ext cx="952892" cy="18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HYDROGEN</a:t>
              </a:r>
            </a:p>
          </xdr:txBody>
        </xdr:sp>
      </xdr:grpSp>
      <xdr:grpSp>
        <xdr:nvGrpSpPr>
          <xdr:cNvPr id="85" name="Group 84">
            <a:hlinkClick xmlns:r="http://schemas.openxmlformats.org/officeDocument/2006/relationships" r:id="rId25"/>
            <a:extLst>
              <a:ext uri="{FF2B5EF4-FFF2-40B4-BE49-F238E27FC236}">
                <a16:creationId xmlns:a16="http://schemas.microsoft.com/office/drawing/2014/main" id="{00000000-0008-0000-0900-000055000000}"/>
              </a:ext>
            </a:extLst>
          </xdr:cNvPr>
          <xdr:cNvGrpSpPr/>
        </xdr:nvGrpSpPr>
        <xdr:grpSpPr>
          <a:xfrm>
            <a:off x="9340366" y="249331"/>
            <a:ext cx="841559" cy="690282"/>
            <a:chOff x="8625170" y="277906"/>
            <a:chExt cx="841559" cy="690282"/>
          </a:xfrm>
        </xdr:grpSpPr>
        <xdr:pic>
          <xdr:nvPicPr>
            <xdr:cNvPr id="93" name="Picture 92">
              <a:extLst>
                <a:ext uri="{FF2B5EF4-FFF2-40B4-BE49-F238E27FC236}">
                  <a16:creationId xmlns:a16="http://schemas.microsoft.com/office/drawing/2014/main" id="{00000000-0008-0000-0900-00005D000000}"/>
                </a:ext>
                <a:ext uri="{147F2762-F138-4A5C-976F-8EAC2B608ADB}">
                  <a16:predDERef xmlns:a16="http://schemas.microsoft.com/office/drawing/2014/main" pred="{C3724981-7622-998F-1DE2-D8A1EDB791C5}"/>
                </a:ext>
              </a:extLst>
            </xdr:cNvPr>
            <xdr:cNvPicPr>
              <a:picLocks noChangeAspect="1"/>
            </xdr:cNvPicPr>
          </xdr:nvPicPr>
          <xdr:blipFill>
            <a:blip xmlns:r="http://schemas.openxmlformats.org/officeDocument/2006/relationships" r:embed="rId26"/>
            <a:stretch>
              <a:fillRect/>
            </a:stretch>
          </xdr:blipFill>
          <xdr:spPr>
            <a:xfrm>
              <a:off x="8686800" y="277906"/>
              <a:ext cx="685800" cy="577215"/>
            </a:xfrm>
            <a:prstGeom prst="rect">
              <a:avLst/>
            </a:prstGeom>
          </xdr:spPr>
        </xdr:pic>
        <xdr:sp macro="" textlink="">
          <xdr:nvSpPr>
            <xdr:cNvPr id="94" name="TextBox 93">
              <a:extLst>
                <a:ext uri="{FF2B5EF4-FFF2-40B4-BE49-F238E27FC236}">
                  <a16:creationId xmlns:a16="http://schemas.microsoft.com/office/drawing/2014/main" id="{00000000-0008-0000-0900-00005E000000}"/>
                </a:ext>
              </a:extLst>
            </xdr:cNvPr>
            <xdr:cNvSpPr txBox="1"/>
          </xdr:nvSpPr>
          <xdr:spPr>
            <a:xfrm>
              <a:off x="8625170" y="808505"/>
              <a:ext cx="841559"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BIOFUELS</a:t>
              </a:r>
            </a:p>
          </xdr:txBody>
        </xdr:sp>
      </xdr:grpSp>
      <xdr:grpSp>
        <xdr:nvGrpSpPr>
          <xdr:cNvPr id="86" name="Group 85">
            <a:hlinkClick xmlns:r="http://schemas.openxmlformats.org/officeDocument/2006/relationships" r:id="rId27"/>
            <a:extLst>
              <a:ext uri="{FF2B5EF4-FFF2-40B4-BE49-F238E27FC236}">
                <a16:creationId xmlns:a16="http://schemas.microsoft.com/office/drawing/2014/main" id="{00000000-0008-0000-0900-000056000000}"/>
              </a:ext>
            </a:extLst>
          </xdr:cNvPr>
          <xdr:cNvGrpSpPr/>
        </xdr:nvGrpSpPr>
        <xdr:grpSpPr>
          <a:xfrm>
            <a:off x="10773597" y="215530"/>
            <a:ext cx="1425389" cy="957239"/>
            <a:chOff x="10094261" y="244105"/>
            <a:chExt cx="1425389" cy="957239"/>
          </a:xfrm>
        </xdr:grpSpPr>
        <xdr:pic>
          <xdr:nvPicPr>
            <xdr:cNvPr id="91" name="Picture 90">
              <a:extLst>
                <a:ext uri="{FF2B5EF4-FFF2-40B4-BE49-F238E27FC236}">
                  <a16:creationId xmlns:a16="http://schemas.microsoft.com/office/drawing/2014/main" id="{00000000-0008-0000-0900-00005B000000}"/>
                </a:ext>
                <a:ext uri="{147F2762-F138-4A5C-976F-8EAC2B608ADB}">
                  <a16:predDERef xmlns:a16="http://schemas.microsoft.com/office/drawing/2014/main" pred="{4BF98531-84AF-FD02-8989-724C2737A24A}"/>
                </a:ext>
              </a:extLst>
            </xdr:cNvPr>
            <xdr:cNvPicPr>
              <a:picLocks noChangeAspect="1"/>
            </xdr:cNvPicPr>
          </xdr:nvPicPr>
          <xdr:blipFill>
            <a:blip xmlns:r="http://schemas.openxmlformats.org/officeDocument/2006/relationships" r:embed="rId28"/>
            <a:stretch>
              <a:fillRect/>
            </a:stretch>
          </xdr:blipFill>
          <xdr:spPr>
            <a:xfrm>
              <a:off x="10548612" y="244105"/>
              <a:ext cx="458002" cy="608284"/>
            </a:xfrm>
            <a:prstGeom prst="rect">
              <a:avLst/>
            </a:prstGeom>
          </xdr:spPr>
        </xdr:pic>
        <xdr:sp macro="" textlink="">
          <xdr:nvSpPr>
            <xdr:cNvPr id="92" name="TextBox 91">
              <a:extLst>
                <a:ext uri="{FF2B5EF4-FFF2-40B4-BE49-F238E27FC236}">
                  <a16:creationId xmlns:a16="http://schemas.microsoft.com/office/drawing/2014/main" id="{00000000-0008-0000-0900-00005C000000}"/>
                </a:ext>
              </a:extLst>
            </xdr:cNvPr>
            <xdr:cNvSpPr txBox="1"/>
          </xdr:nvSpPr>
          <xdr:spPr>
            <a:xfrm>
              <a:off x="10094261" y="797789"/>
              <a:ext cx="1425389" cy="403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LOWER</a:t>
              </a:r>
            </a:p>
            <a:p>
              <a:pPr algn="ctr"/>
              <a:r>
                <a:rPr lang="en-US" sz="1000" b="0" baseline="0">
                  <a:latin typeface="72 Black" panose="020B0A04030603020204" pitchFamily="34" charset="0"/>
                  <a:cs typeface="72 Black" panose="020B0A04030603020204" pitchFamily="34" charset="0"/>
                </a:rPr>
                <a:t> CARBON POWER</a:t>
              </a:r>
              <a:endParaRPr lang="en-US" sz="1000" b="0">
                <a:latin typeface="72 Black" panose="020B0A04030603020204" pitchFamily="34" charset="0"/>
                <a:cs typeface="72 Black" panose="020B0A04030603020204" pitchFamily="34" charset="0"/>
              </a:endParaRPr>
            </a:p>
          </xdr:txBody>
        </xdr:sp>
      </xdr:grpSp>
      <xdr:sp macro="" textlink="">
        <xdr:nvSpPr>
          <xdr:cNvPr id="87" name="Rectangle: Rounded Corners 86">
            <a:extLst>
              <a:ext uri="{FF2B5EF4-FFF2-40B4-BE49-F238E27FC236}">
                <a16:creationId xmlns:a16="http://schemas.microsoft.com/office/drawing/2014/main" id="{00000000-0008-0000-0900-000057000000}"/>
              </a:ext>
            </a:extLst>
          </xdr:cNvPr>
          <xdr:cNvSpPr/>
        </xdr:nvSpPr>
        <xdr:spPr>
          <a:xfrm>
            <a:off x="4868141" y="64241"/>
            <a:ext cx="2230848" cy="1115483"/>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grpSp>
        <xdr:nvGrpSpPr>
          <xdr:cNvPr id="88" name="Group 87">
            <a:hlinkClick xmlns:r="http://schemas.openxmlformats.org/officeDocument/2006/relationships" r:id="rId29"/>
            <a:extLst>
              <a:ext uri="{FF2B5EF4-FFF2-40B4-BE49-F238E27FC236}">
                <a16:creationId xmlns:a16="http://schemas.microsoft.com/office/drawing/2014/main" id="{00000000-0008-0000-0900-000058000000}"/>
              </a:ext>
            </a:extLst>
          </xdr:cNvPr>
          <xdr:cNvGrpSpPr/>
        </xdr:nvGrpSpPr>
        <xdr:grpSpPr>
          <a:xfrm>
            <a:off x="1717819" y="429577"/>
            <a:ext cx="521114" cy="502920"/>
            <a:chOff x="1714500" y="434340"/>
            <a:chExt cx="521114" cy="502920"/>
          </a:xfrm>
        </xdr:grpSpPr>
        <xdr:pic>
          <xdr:nvPicPr>
            <xdr:cNvPr id="89" name="Picture 88">
              <a:extLst>
                <a:ext uri="{FF2B5EF4-FFF2-40B4-BE49-F238E27FC236}">
                  <a16:creationId xmlns:a16="http://schemas.microsoft.com/office/drawing/2014/main" id="{00000000-0008-0000-0900-000059000000}"/>
                </a:ext>
              </a:extLst>
            </xdr:cNvPr>
            <xdr:cNvPicPr>
              <a:picLocks noChangeAspect="1"/>
            </xdr:cNvPicPr>
          </xdr:nvPicPr>
          <xdr:blipFill>
            <a:blip xmlns:r="http://schemas.openxmlformats.org/officeDocument/2006/relationships" r:embed="rId30"/>
            <a:stretch>
              <a:fillRect/>
            </a:stretch>
          </xdr:blipFill>
          <xdr:spPr>
            <a:xfrm>
              <a:off x="1739946" y="434340"/>
              <a:ext cx="495668" cy="367536"/>
            </a:xfrm>
            <a:prstGeom prst="rect">
              <a:avLst/>
            </a:prstGeom>
          </xdr:spPr>
        </xdr:pic>
        <xdr:sp macro="" textlink="">
          <xdr:nvSpPr>
            <xdr:cNvPr id="90" name="TextBox 89">
              <a:extLst>
                <a:ext uri="{FF2B5EF4-FFF2-40B4-BE49-F238E27FC236}">
                  <a16:creationId xmlns:a16="http://schemas.microsoft.com/office/drawing/2014/main" id="{00000000-0008-0000-0900-00005A000000}"/>
                </a:ext>
              </a:extLst>
            </xdr:cNvPr>
            <xdr:cNvSpPr txBox="1"/>
          </xdr:nvSpPr>
          <xdr:spPr>
            <a:xfrm>
              <a:off x="1714500" y="762000"/>
              <a:ext cx="510540" cy="175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latin typeface="72 Black" panose="020B0A04030603020204" pitchFamily="34" charset="0"/>
                  <a:cs typeface="72 Black" panose="020B0A04030603020204" pitchFamily="34" charset="0"/>
                </a:rPr>
                <a:t>FAQ</a:t>
              </a: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1251223</xdr:colOff>
      <xdr:row>0</xdr:row>
      <xdr:rowOff>1257300</xdr:rowOff>
    </xdr:to>
    <xdr:grpSp>
      <xdr:nvGrpSpPr>
        <xdr:cNvPr id="70" name="Group 100">
          <a:extLst>
            <a:ext uri="{FF2B5EF4-FFF2-40B4-BE49-F238E27FC236}">
              <a16:creationId xmlns:a16="http://schemas.microsoft.com/office/drawing/2014/main" id="{00000000-0008-0000-0A00-000046000000}"/>
            </a:ext>
          </a:extLst>
        </xdr:cNvPr>
        <xdr:cNvGrpSpPr/>
      </xdr:nvGrpSpPr>
      <xdr:grpSpPr>
        <a:xfrm>
          <a:off x="0" y="0"/>
          <a:ext cx="11881123" cy="1257300"/>
          <a:chOff x="0" y="0"/>
          <a:chExt cx="12198986" cy="1190625"/>
        </a:xfrm>
      </xdr:grpSpPr>
      <xdr:sp macro="" textlink="">
        <xdr:nvSpPr>
          <xdr:cNvPr id="71" name="TextBox 101">
            <a:extLst>
              <a:ext uri="{FF2B5EF4-FFF2-40B4-BE49-F238E27FC236}">
                <a16:creationId xmlns:a16="http://schemas.microsoft.com/office/drawing/2014/main" id="{00000000-0008-0000-0A00-000047000000}"/>
              </a:ext>
            </a:extLst>
          </xdr:cNvPr>
          <xdr:cNvSpPr txBox="1"/>
        </xdr:nvSpPr>
        <xdr:spPr>
          <a:xfrm>
            <a:off x="849027" y="17369"/>
            <a:ext cx="871625" cy="330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ABOUT</a:t>
            </a:r>
          </a:p>
        </xdr:txBody>
      </xdr:sp>
      <xdr:sp macro="" textlink="">
        <xdr:nvSpPr>
          <xdr:cNvPr id="72" name="TextBox 102">
            <a:extLst>
              <a:ext uri="{FF2B5EF4-FFF2-40B4-BE49-F238E27FC236}">
                <a16:creationId xmlns:a16="http://schemas.microsoft.com/office/drawing/2014/main" id="{00000000-0008-0000-0A00-000048000000}"/>
              </a:ext>
            </a:extLst>
          </xdr:cNvPr>
          <xdr:cNvSpPr txBox="1"/>
        </xdr:nvSpPr>
        <xdr:spPr>
          <a:xfrm>
            <a:off x="4905072" y="0"/>
            <a:ext cx="1460728" cy="336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DASHBOARD</a:t>
            </a:r>
          </a:p>
        </xdr:txBody>
      </xdr:sp>
      <xdr:sp macro="" textlink="">
        <xdr:nvSpPr>
          <xdr:cNvPr id="73" name="TextBox 103">
            <a:extLst>
              <a:ext uri="{FF2B5EF4-FFF2-40B4-BE49-F238E27FC236}">
                <a16:creationId xmlns:a16="http://schemas.microsoft.com/office/drawing/2014/main" id="{00000000-0008-0000-0A00-000049000000}"/>
              </a:ext>
            </a:extLst>
          </xdr:cNvPr>
          <xdr:cNvSpPr txBox="1"/>
        </xdr:nvSpPr>
        <xdr:spPr>
          <a:xfrm>
            <a:off x="7295787" y="9525"/>
            <a:ext cx="1640043" cy="336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CALCULATIONS</a:t>
            </a:r>
          </a:p>
        </xdr:txBody>
      </xdr:sp>
      <xdr:pic>
        <xdr:nvPicPr>
          <xdr:cNvPr id="74" name="Picture 104">
            <a:hlinkClick xmlns:r="http://schemas.openxmlformats.org/officeDocument/2006/relationships" r:id="rId1" tooltip="Education"/>
            <a:extLst>
              <a:ext uri="{FF2B5EF4-FFF2-40B4-BE49-F238E27FC236}">
                <a16:creationId xmlns:a16="http://schemas.microsoft.com/office/drawing/2014/main" id="{00000000-0008-0000-0A00-00004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1034" y="300037"/>
            <a:ext cx="781668" cy="762000"/>
          </a:xfrm>
          <a:prstGeom prst="rect">
            <a:avLst/>
          </a:prstGeom>
          <a:ln>
            <a:noFill/>
          </a:ln>
        </xdr:spPr>
      </xdr:pic>
      <xdr:pic>
        <xdr:nvPicPr>
          <xdr:cNvPr id="75" name="Picture 105">
            <a:hlinkClick xmlns:r="http://schemas.openxmlformats.org/officeDocument/2006/relationships" r:id="rId3" tooltip="Terms &amp; Conditions"/>
            <a:extLst>
              <a:ext uri="{FF2B5EF4-FFF2-40B4-BE49-F238E27FC236}">
                <a16:creationId xmlns:a16="http://schemas.microsoft.com/office/drawing/2014/main" id="{00000000-0008-0000-0A00-00004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75950" y="301561"/>
            <a:ext cx="779626" cy="758952"/>
          </a:xfrm>
          <a:prstGeom prst="rect">
            <a:avLst/>
          </a:prstGeom>
          <a:ln>
            <a:noFill/>
          </a:ln>
        </xdr:spPr>
      </xdr:pic>
      <xdr:pic>
        <xdr:nvPicPr>
          <xdr:cNvPr id="76" name="Picture 106">
            <a:hlinkClick xmlns:r="http://schemas.openxmlformats.org/officeDocument/2006/relationships" r:id="rId5" tooltip="User Guide"/>
            <a:extLst>
              <a:ext uri="{FF2B5EF4-FFF2-40B4-BE49-F238E27FC236}">
                <a16:creationId xmlns:a16="http://schemas.microsoft.com/office/drawing/2014/main" id="{00000000-0008-0000-0A00-00004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92593" y="301561"/>
            <a:ext cx="779626" cy="758952"/>
          </a:xfrm>
          <a:prstGeom prst="rect">
            <a:avLst/>
          </a:prstGeom>
        </xdr:spPr>
      </xdr:pic>
      <xdr:pic>
        <xdr:nvPicPr>
          <xdr:cNvPr id="77" name="Picture 107">
            <a:hlinkClick xmlns:r="http://schemas.openxmlformats.org/officeDocument/2006/relationships" r:id="rId7" tooltip="Dashboard"/>
            <a:extLst>
              <a:ext uri="{FF2B5EF4-FFF2-40B4-BE49-F238E27FC236}">
                <a16:creationId xmlns:a16="http://schemas.microsoft.com/office/drawing/2014/main" id="{00000000-0008-0000-0A00-00004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924641" y="314325"/>
            <a:ext cx="779626" cy="758952"/>
          </a:xfrm>
          <a:prstGeom prst="rect">
            <a:avLst/>
          </a:prstGeom>
        </xdr:spPr>
      </xdr:pic>
      <xdr:pic>
        <xdr:nvPicPr>
          <xdr:cNvPr id="78" name="Picture 108">
            <a:hlinkClick xmlns:r="http://schemas.openxmlformats.org/officeDocument/2006/relationships" r:id="rId9" tooltip="Factors"/>
            <a:extLst>
              <a:ext uri="{FF2B5EF4-FFF2-40B4-BE49-F238E27FC236}">
                <a16:creationId xmlns:a16="http://schemas.microsoft.com/office/drawing/2014/main" id="{00000000-0008-0000-0A00-00004E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323820" y="314325"/>
            <a:ext cx="779626" cy="758952"/>
          </a:xfrm>
          <a:prstGeom prst="rect">
            <a:avLst/>
          </a:prstGeom>
        </xdr:spPr>
      </xdr:pic>
      <xdr:pic>
        <xdr:nvPicPr>
          <xdr:cNvPr id="79" name="Picture 109">
            <a:hlinkClick xmlns:r="http://schemas.openxmlformats.org/officeDocument/2006/relationships" r:id="rId11" tooltip="Alternative Calculations"/>
            <a:extLst>
              <a:ext uri="{FF2B5EF4-FFF2-40B4-BE49-F238E27FC236}">
                <a16:creationId xmlns:a16="http://schemas.microsoft.com/office/drawing/2014/main" id="{00000000-0008-0000-0A00-00004F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678045" y="314325"/>
            <a:ext cx="779626" cy="758952"/>
          </a:xfrm>
          <a:prstGeom prst="rect">
            <a:avLst/>
          </a:prstGeom>
        </xdr:spPr>
      </xdr:pic>
      <xdr:pic>
        <xdr:nvPicPr>
          <xdr:cNvPr id="80" name="Picture 110">
            <a:hlinkClick xmlns:r="http://schemas.openxmlformats.org/officeDocument/2006/relationships" r:id="rId13" tooltip="Abbreviations"/>
            <a:extLst>
              <a:ext uri="{FF2B5EF4-FFF2-40B4-BE49-F238E27FC236}">
                <a16:creationId xmlns:a16="http://schemas.microsoft.com/office/drawing/2014/main" id="{00000000-0008-0000-0A00-000050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909237" y="301561"/>
            <a:ext cx="783981" cy="758952"/>
          </a:xfrm>
          <a:prstGeom prst="rect">
            <a:avLst/>
          </a:prstGeom>
        </xdr:spPr>
      </xdr:pic>
      <xdr:pic>
        <xdr:nvPicPr>
          <xdr:cNvPr id="81" name="Picture 111">
            <a:hlinkClick xmlns:r="http://schemas.openxmlformats.org/officeDocument/2006/relationships" r:id="rId15" tooltip="Oil and Refined Products"/>
            <a:extLst>
              <a:ext uri="{FF2B5EF4-FFF2-40B4-BE49-F238E27FC236}">
                <a16:creationId xmlns:a16="http://schemas.microsoft.com/office/drawing/2014/main" id="{00000000-0008-0000-0A00-00005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256651" y="304800"/>
            <a:ext cx="779626" cy="758952"/>
          </a:xfrm>
          <a:prstGeom prst="rect">
            <a:avLst/>
          </a:prstGeom>
        </xdr:spPr>
      </xdr:pic>
      <xdr:sp macro="" textlink="">
        <xdr:nvSpPr>
          <xdr:cNvPr id="82" name="Rectangle: Rounded Corners 112">
            <a:extLst>
              <a:ext uri="{FF2B5EF4-FFF2-40B4-BE49-F238E27FC236}">
                <a16:creationId xmlns:a16="http://schemas.microsoft.com/office/drawing/2014/main" id="{00000000-0008-0000-0A00-000052000000}"/>
              </a:ext>
            </a:extLst>
          </xdr:cNvPr>
          <xdr:cNvSpPr/>
        </xdr:nvSpPr>
        <xdr:spPr>
          <a:xfrm>
            <a:off x="831680" y="57150"/>
            <a:ext cx="3885100" cy="11334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sp macro="" textlink="">
        <xdr:nvSpPr>
          <xdr:cNvPr id="83" name="Rectangle: Rounded Corners 113">
            <a:extLst>
              <a:ext uri="{FF2B5EF4-FFF2-40B4-BE49-F238E27FC236}">
                <a16:creationId xmlns:a16="http://schemas.microsoft.com/office/drawing/2014/main" id="{00000000-0008-0000-0A00-000053000000}"/>
              </a:ext>
            </a:extLst>
          </xdr:cNvPr>
          <xdr:cNvSpPr/>
        </xdr:nvSpPr>
        <xdr:spPr>
          <a:xfrm>
            <a:off x="7237082" y="47625"/>
            <a:ext cx="4881220" cy="11334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pic>
        <xdr:nvPicPr>
          <xdr:cNvPr id="84" name="Picture 114">
            <a:hlinkClick xmlns:r="http://schemas.openxmlformats.org/officeDocument/2006/relationships" r:id="rId17" tooltip="Home"/>
            <a:extLst>
              <a:ext uri="{FF2B5EF4-FFF2-40B4-BE49-F238E27FC236}">
                <a16:creationId xmlns:a16="http://schemas.microsoft.com/office/drawing/2014/main" id="{00000000-0008-0000-0A00-000054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0" y="323850"/>
            <a:ext cx="779626" cy="758952"/>
          </a:xfrm>
          <a:prstGeom prst="rect">
            <a:avLst/>
          </a:prstGeom>
        </xdr:spPr>
      </xdr:pic>
      <xdr:grpSp>
        <xdr:nvGrpSpPr>
          <xdr:cNvPr id="85" name="Group 115">
            <a:extLst>
              <a:ext uri="{FF2B5EF4-FFF2-40B4-BE49-F238E27FC236}">
                <a16:creationId xmlns:a16="http://schemas.microsoft.com/office/drawing/2014/main" id="{00000000-0008-0000-0A00-000055000000}"/>
              </a:ext>
            </a:extLst>
          </xdr:cNvPr>
          <xdr:cNvGrpSpPr/>
        </xdr:nvGrpSpPr>
        <xdr:grpSpPr>
          <a:xfrm>
            <a:off x="8739731" y="304801"/>
            <a:ext cx="779626" cy="652742"/>
            <a:chOff x="8739731" y="304801"/>
            <a:chExt cx="779626" cy="652742"/>
          </a:xfrm>
        </xdr:grpSpPr>
        <xdr:pic>
          <xdr:nvPicPr>
            <xdr:cNvPr id="86" name="Picture 132">
              <a:hlinkClick xmlns:r="http://schemas.openxmlformats.org/officeDocument/2006/relationships" r:id="rId19" tooltip="Gas &amp; LNG"/>
              <a:extLst>
                <a:ext uri="{FF2B5EF4-FFF2-40B4-BE49-F238E27FC236}">
                  <a16:creationId xmlns:a16="http://schemas.microsoft.com/office/drawing/2014/main" id="{00000000-0008-0000-0A00-000056000000}"/>
                </a:ext>
              </a:extLst>
            </xdr:cNvPr>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b="32893"/>
            <a:stretch/>
          </xdr:blipFill>
          <xdr:spPr>
            <a:xfrm>
              <a:off x="8739731" y="304801"/>
              <a:ext cx="779626" cy="509306"/>
            </a:xfrm>
            <a:prstGeom prst="rect">
              <a:avLst/>
            </a:prstGeom>
          </xdr:spPr>
        </xdr:pic>
        <xdr:sp macro="" textlink="">
          <xdr:nvSpPr>
            <xdr:cNvPr id="87" name="TextBox 133">
              <a:extLst>
                <a:ext uri="{FF2B5EF4-FFF2-40B4-BE49-F238E27FC236}">
                  <a16:creationId xmlns:a16="http://schemas.microsoft.com/office/drawing/2014/main" id="{00000000-0008-0000-0A00-000057000000}"/>
                </a:ext>
              </a:extLst>
            </xdr:cNvPr>
            <xdr:cNvSpPr txBox="1"/>
          </xdr:nvSpPr>
          <xdr:spPr>
            <a:xfrm>
              <a:off x="8846184" y="769283"/>
              <a:ext cx="537883" cy="18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NGLs</a:t>
              </a:r>
            </a:p>
          </xdr:txBody>
        </xdr:sp>
      </xdr:grpSp>
      <xdr:grpSp>
        <xdr:nvGrpSpPr>
          <xdr:cNvPr id="88" name="Group 116">
            <a:hlinkClick xmlns:r="http://schemas.openxmlformats.org/officeDocument/2006/relationships" r:id="rId21"/>
            <a:extLst>
              <a:ext uri="{FF2B5EF4-FFF2-40B4-BE49-F238E27FC236}">
                <a16:creationId xmlns:a16="http://schemas.microsoft.com/office/drawing/2014/main" id="{00000000-0008-0000-0A00-000058000000}"/>
              </a:ext>
            </a:extLst>
          </xdr:cNvPr>
          <xdr:cNvGrpSpPr/>
        </xdr:nvGrpSpPr>
        <xdr:grpSpPr>
          <a:xfrm>
            <a:off x="7963288" y="399140"/>
            <a:ext cx="936684" cy="558403"/>
            <a:chOff x="7252446" y="427715"/>
            <a:chExt cx="932330" cy="558403"/>
          </a:xfrm>
        </xdr:grpSpPr>
        <xdr:pic>
          <xdr:nvPicPr>
            <xdr:cNvPr id="89" name="Picture 130">
              <a:extLst>
                <a:ext uri="{FF2B5EF4-FFF2-40B4-BE49-F238E27FC236}">
                  <a16:creationId xmlns:a16="http://schemas.microsoft.com/office/drawing/2014/main" id="{00000000-0008-0000-0A00-000059000000}"/>
                </a:ext>
                <a:ext uri="{147F2762-F138-4A5C-976F-8EAC2B608ADB}">
                  <a16:predDERef xmlns:a16="http://schemas.microsoft.com/office/drawing/2014/main" pred="{EF1B35E2-6469-5D85-6D58-31B6837836BF}"/>
                </a:ext>
              </a:extLst>
            </xdr:cNvPr>
            <xdr:cNvPicPr>
              <a:picLocks noChangeAspect="1"/>
            </xdr:cNvPicPr>
          </xdr:nvPicPr>
          <xdr:blipFill>
            <a:blip xmlns:r="http://schemas.openxmlformats.org/officeDocument/2006/relationships" r:embed="rId22"/>
            <a:stretch>
              <a:fillRect/>
            </a:stretch>
          </xdr:blipFill>
          <xdr:spPr>
            <a:xfrm>
              <a:off x="7404131" y="427715"/>
              <a:ext cx="582522" cy="453422"/>
            </a:xfrm>
            <a:prstGeom prst="rect">
              <a:avLst/>
            </a:prstGeom>
          </xdr:spPr>
        </xdr:pic>
        <xdr:sp macro="" textlink="">
          <xdr:nvSpPr>
            <xdr:cNvPr id="90" name="TextBox 131">
              <a:extLst>
                <a:ext uri="{FF2B5EF4-FFF2-40B4-BE49-F238E27FC236}">
                  <a16:creationId xmlns:a16="http://schemas.microsoft.com/office/drawing/2014/main" id="{00000000-0008-0000-0A00-00005A000000}"/>
                </a:ext>
              </a:extLst>
            </xdr:cNvPr>
            <xdr:cNvSpPr txBox="1"/>
          </xdr:nvSpPr>
          <xdr:spPr>
            <a:xfrm>
              <a:off x="7252446" y="815785"/>
              <a:ext cx="932330" cy="17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b="0">
                  <a:latin typeface="72 Black" panose="020B0A04030603020204" pitchFamily="34" charset="0"/>
                  <a:cs typeface="72 Black" panose="020B0A04030603020204" pitchFamily="34" charset="0"/>
                </a:rPr>
                <a:t>GAS</a:t>
              </a:r>
              <a:r>
                <a:rPr lang="en-US" sz="900" b="0" baseline="0">
                  <a:latin typeface="72 Black" panose="020B0A04030603020204" pitchFamily="34" charset="0"/>
                  <a:cs typeface="72 Black" panose="020B0A04030603020204" pitchFamily="34" charset="0"/>
                </a:rPr>
                <a:t> &amp; LNG</a:t>
              </a:r>
              <a:endParaRPr lang="en-US" sz="900" b="0">
                <a:latin typeface="72 Black" panose="020B0A04030603020204" pitchFamily="34" charset="0"/>
                <a:cs typeface="72 Black" panose="020B0A04030603020204" pitchFamily="34" charset="0"/>
              </a:endParaRPr>
            </a:p>
          </xdr:txBody>
        </xdr:sp>
      </xdr:grpSp>
      <xdr:grpSp>
        <xdr:nvGrpSpPr>
          <xdr:cNvPr id="91" name="Group 117">
            <a:hlinkClick xmlns:r="http://schemas.openxmlformats.org/officeDocument/2006/relationships" r:id="rId23"/>
            <a:extLst>
              <a:ext uri="{FF2B5EF4-FFF2-40B4-BE49-F238E27FC236}">
                <a16:creationId xmlns:a16="http://schemas.microsoft.com/office/drawing/2014/main" id="{00000000-0008-0000-0A00-00005B000000}"/>
              </a:ext>
            </a:extLst>
          </xdr:cNvPr>
          <xdr:cNvGrpSpPr/>
        </xdr:nvGrpSpPr>
        <xdr:grpSpPr>
          <a:xfrm>
            <a:off x="10117854" y="449143"/>
            <a:ext cx="952892" cy="517367"/>
            <a:chOff x="9402658" y="477718"/>
            <a:chExt cx="952892" cy="517367"/>
          </a:xfrm>
        </xdr:grpSpPr>
        <xdr:pic>
          <xdr:nvPicPr>
            <xdr:cNvPr id="92" name="Picture 128">
              <a:extLst>
                <a:ext uri="{FF2B5EF4-FFF2-40B4-BE49-F238E27FC236}">
                  <a16:creationId xmlns:a16="http://schemas.microsoft.com/office/drawing/2014/main" id="{00000000-0008-0000-0A00-00005C000000}"/>
                </a:ext>
              </a:extLst>
            </xdr:cNvPr>
            <xdr:cNvPicPr>
              <a:picLocks noChangeAspect="1"/>
            </xdr:cNvPicPr>
          </xdr:nvPicPr>
          <xdr:blipFill>
            <a:blip xmlns:r="http://schemas.openxmlformats.org/officeDocument/2006/relationships" r:embed="rId24"/>
            <a:stretch>
              <a:fillRect/>
            </a:stretch>
          </xdr:blipFill>
          <xdr:spPr>
            <a:xfrm>
              <a:off x="9525454" y="477718"/>
              <a:ext cx="679846" cy="340639"/>
            </a:xfrm>
            <a:prstGeom prst="rect">
              <a:avLst/>
            </a:prstGeom>
          </xdr:spPr>
        </xdr:pic>
        <xdr:sp macro="" textlink="">
          <xdr:nvSpPr>
            <xdr:cNvPr id="93" name="TextBox 129">
              <a:extLst>
                <a:ext uri="{FF2B5EF4-FFF2-40B4-BE49-F238E27FC236}">
                  <a16:creationId xmlns:a16="http://schemas.microsoft.com/office/drawing/2014/main" id="{00000000-0008-0000-0A00-00005D000000}"/>
                </a:ext>
              </a:extLst>
            </xdr:cNvPr>
            <xdr:cNvSpPr txBox="1"/>
          </xdr:nvSpPr>
          <xdr:spPr>
            <a:xfrm>
              <a:off x="9402658" y="806825"/>
              <a:ext cx="952892" cy="18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HYDROGEN</a:t>
              </a:r>
            </a:p>
          </xdr:txBody>
        </xdr:sp>
      </xdr:grpSp>
      <xdr:grpSp>
        <xdr:nvGrpSpPr>
          <xdr:cNvPr id="94" name="Group 118">
            <a:hlinkClick xmlns:r="http://schemas.openxmlformats.org/officeDocument/2006/relationships" r:id="rId25"/>
            <a:extLst>
              <a:ext uri="{FF2B5EF4-FFF2-40B4-BE49-F238E27FC236}">
                <a16:creationId xmlns:a16="http://schemas.microsoft.com/office/drawing/2014/main" id="{00000000-0008-0000-0A00-00005E000000}"/>
              </a:ext>
            </a:extLst>
          </xdr:cNvPr>
          <xdr:cNvGrpSpPr/>
        </xdr:nvGrpSpPr>
        <xdr:grpSpPr>
          <a:xfrm>
            <a:off x="9340366" y="249331"/>
            <a:ext cx="841559" cy="690282"/>
            <a:chOff x="8625170" y="277906"/>
            <a:chExt cx="841559" cy="690282"/>
          </a:xfrm>
        </xdr:grpSpPr>
        <xdr:pic>
          <xdr:nvPicPr>
            <xdr:cNvPr id="95" name="Picture 126">
              <a:extLst>
                <a:ext uri="{FF2B5EF4-FFF2-40B4-BE49-F238E27FC236}">
                  <a16:creationId xmlns:a16="http://schemas.microsoft.com/office/drawing/2014/main" id="{00000000-0008-0000-0A00-00005F000000}"/>
                </a:ext>
                <a:ext uri="{147F2762-F138-4A5C-976F-8EAC2B608ADB}">
                  <a16:predDERef xmlns:a16="http://schemas.microsoft.com/office/drawing/2014/main" pred="{C3724981-7622-998F-1DE2-D8A1EDB791C5}"/>
                </a:ext>
              </a:extLst>
            </xdr:cNvPr>
            <xdr:cNvPicPr>
              <a:picLocks noChangeAspect="1"/>
            </xdr:cNvPicPr>
          </xdr:nvPicPr>
          <xdr:blipFill>
            <a:blip xmlns:r="http://schemas.openxmlformats.org/officeDocument/2006/relationships" r:embed="rId26"/>
            <a:stretch>
              <a:fillRect/>
            </a:stretch>
          </xdr:blipFill>
          <xdr:spPr>
            <a:xfrm>
              <a:off x="8686800" y="277906"/>
              <a:ext cx="685800" cy="577215"/>
            </a:xfrm>
            <a:prstGeom prst="rect">
              <a:avLst/>
            </a:prstGeom>
          </xdr:spPr>
        </xdr:pic>
        <xdr:sp macro="" textlink="">
          <xdr:nvSpPr>
            <xdr:cNvPr id="96" name="TextBox 127">
              <a:extLst>
                <a:ext uri="{FF2B5EF4-FFF2-40B4-BE49-F238E27FC236}">
                  <a16:creationId xmlns:a16="http://schemas.microsoft.com/office/drawing/2014/main" id="{00000000-0008-0000-0A00-000060000000}"/>
                </a:ext>
              </a:extLst>
            </xdr:cNvPr>
            <xdr:cNvSpPr txBox="1"/>
          </xdr:nvSpPr>
          <xdr:spPr>
            <a:xfrm>
              <a:off x="8625170" y="808505"/>
              <a:ext cx="841559"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BIOFUELS</a:t>
              </a:r>
            </a:p>
          </xdr:txBody>
        </xdr:sp>
      </xdr:grpSp>
      <xdr:grpSp>
        <xdr:nvGrpSpPr>
          <xdr:cNvPr id="97" name="Group 119">
            <a:hlinkClick xmlns:r="http://schemas.openxmlformats.org/officeDocument/2006/relationships" r:id="rId27"/>
            <a:extLst>
              <a:ext uri="{FF2B5EF4-FFF2-40B4-BE49-F238E27FC236}">
                <a16:creationId xmlns:a16="http://schemas.microsoft.com/office/drawing/2014/main" id="{00000000-0008-0000-0A00-000061000000}"/>
              </a:ext>
            </a:extLst>
          </xdr:cNvPr>
          <xdr:cNvGrpSpPr/>
        </xdr:nvGrpSpPr>
        <xdr:grpSpPr>
          <a:xfrm>
            <a:off x="10773597" y="215530"/>
            <a:ext cx="1425389" cy="957239"/>
            <a:chOff x="10094261" y="244105"/>
            <a:chExt cx="1425389" cy="957239"/>
          </a:xfrm>
        </xdr:grpSpPr>
        <xdr:pic>
          <xdr:nvPicPr>
            <xdr:cNvPr id="98" name="Picture 124">
              <a:extLst>
                <a:ext uri="{FF2B5EF4-FFF2-40B4-BE49-F238E27FC236}">
                  <a16:creationId xmlns:a16="http://schemas.microsoft.com/office/drawing/2014/main" id="{00000000-0008-0000-0A00-000062000000}"/>
                </a:ext>
                <a:ext uri="{147F2762-F138-4A5C-976F-8EAC2B608ADB}">
                  <a16:predDERef xmlns:a16="http://schemas.microsoft.com/office/drawing/2014/main" pred="{4BF98531-84AF-FD02-8989-724C2737A24A}"/>
                </a:ext>
              </a:extLst>
            </xdr:cNvPr>
            <xdr:cNvPicPr>
              <a:picLocks noChangeAspect="1"/>
            </xdr:cNvPicPr>
          </xdr:nvPicPr>
          <xdr:blipFill>
            <a:blip xmlns:r="http://schemas.openxmlformats.org/officeDocument/2006/relationships" r:embed="rId28"/>
            <a:stretch>
              <a:fillRect/>
            </a:stretch>
          </xdr:blipFill>
          <xdr:spPr>
            <a:xfrm>
              <a:off x="10548612" y="244105"/>
              <a:ext cx="458002" cy="608284"/>
            </a:xfrm>
            <a:prstGeom prst="rect">
              <a:avLst/>
            </a:prstGeom>
          </xdr:spPr>
        </xdr:pic>
        <xdr:sp macro="" textlink="">
          <xdr:nvSpPr>
            <xdr:cNvPr id="99" name="TextBox 125">
              <a:extLst>
                <a:ext uri="{FF2B5EF4-FFF2-40B4-BE49-F238E27FC236}">
                  <a16:creationId xmlns:a16="http://schemas.microsoft.com/office/drawing/2014/main" id="{00000000-0008-0000-0A00-000063000000}"/>
                </a:ext>
              </a:extLst>
            </xdr:cNvPr>
            <xdr:cNvSpPr txBox="1"/>
          </xdr:nvSpPr>
          <xdr:spPr>
            <a:xfrm>
              <a:off x="10094261" y="797789"/>
              <a:ext cx="1425389" cy="403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LOWER</a:t>
              </a:r>
            </a:p>
            <a:p>
              <a:pPr algn="ctr"/>
              <a:r>
                <a:rPr lang="en-US" sz="1000" b="0" baseline="0">
                  <a:latin typeface="72 Black" panose="020B0A04030603020204" pitchFamily="34" charset="0"/>
                  <a:cs typeface="72 Black" panose="020B0A04030603020204" pitchFamily="34" charset="0"/>
                </a:rPr>
                <a:t> CARBON POWER</a:t>
              </a:r>
              <a:endParaRPr lang="en-US" sz="1000" b="0">
                <a:latin typeface="72 Black" panose="020B0A04030603020204" pitchFamily="34" charset="0"/>
                <a:cs typeface="72 Black" panose="020B0A04030603020204" pitchFamily="34" charset="0"/>
              </a:endParaRPr>
            </a:p>
          </xdr:txBody>
        </xdr:sp>
      </xdr:grpSp>
      <xdr:sp macro="" textlink="">
        <xdr:nvSpPr>
          <xdr:cNvPr id="100" name="Rectangle: Rounded Corners 120">
            <a:extLst>
              <a:ext uri="{FF2B5EF4-FFF2-40B4-BE49-F238E27FC236}">
                <a16:creationId xmlns:a16="http://schemas.microsoft.com/office/drawing/2014/main" id="{00000000-0008-0000-0A00-000064000000}"/>
              </a:ext>
            </a:extLst>
          </xdr:cNvPr>
          <xdr:cNvSpPr/>
        </xdr:nvSpPr>
        <xdr:spPr>
          <a:xfrm>
            <a:off x="4868141" y="64241"/>
            <a:ext cx="2230848" cy="1115483"/>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grpSp>
        <xdr:nvGrpSpPr>
          <xdr:cNvPr id="135" name="Group 121">
            <a:hlinkClick xmlns:r="http://schemas.openxmlformats.org/officeDocument/2006/relationships" r:id="rId29"/>
            <a:extLst>
              <a:ext uri="{FF2B5EF4-FFF2-40B4-BE49-F238E27FC236}">
                <a16:creationId xmlns:a16="http://schemas.microsoft.com/office/drawing/2014/main" id="{00000000-0008-0000-0A00-000087000000}"/>
              </a:ext>
            </a:extLst>
          </xdr:cNvPr>
          <xdr:cNvGrpSpPr/>
        </xdr:nvGrpSpPr>
        <xdr:grpSpPr>
          <a:xfrm>
            <a:off x="1717819" y="429577"/>
            <a:ext cx="521114" cy="502920"/>
            <a:chOff x="1714500" y="434340"/>
            <a:chExt cx="521114" cy="502920"/>
          </a:xfrm>
        </xdr:grpSpPr>
        <xdr:pic>
          <xdr:nvPicPr>
            <xdr:cNvPr id="136" name="Picture 122">
              <a:extLst>
                <a:ext uri="{FF2B5EF4-FFF2-40B4-BE49-F238E27FC236}">
                  <a16:creationId xmlns:a16="http://schemas.microsoft.com/office/drawing/2014/main" id="{00000000-0008-0000-0A00-000088000000}"/>
                </a:ext>
              </a:extLst>
            </xdr:cNvPr>
            <xdr:cNvPicPr>
              <a:picLocks noChangeAspect="1"/>
            </xdr:cNvPicPr>
          </xdr:nvPicPr>
          <xdr:blipFill>
            <a:blip xmlns:r="http://schemas.openxmlformats.org/officeDocument/2006/relationships" r:embed="rId30"/>
            <a:stretch>
              <a:fillRect/>
            </a:stretch>
          </xdr:blipFill>
          <xdr:spPr>
            <a:xfrm>
              <a:off x="1739946" y="434340"/>
              <a:ext cx="495668" cy="367536"/>
            </a:xfrm>
            <a:prstGeom prst="rect">
              <a:avLst/>
            </a:prstGeom>
          </xdr:spPr>
        </xdr:pic>
        <xdr:sp macro="" textlink="">
          <xdr:nvSpPr>
            <xdr:cNvPr id="137" name="TextBox 123">
              <a:extLst>
                <a:ext uri="{FF2B5EF4-FFF2-40B4-BE49-F238E27FC236}">
                  <a16:creationId xmlns:a16="http://schemas.microsoft.com/office/drawing/2014/main" id="{00000000-0008-0000-0A00-000089000000}"/>
                </a:ext>
              </a:extLst>
            </xdr:cNvPr>
            <xdr:cNvSpPr txBox="1"/>
          </xdr:nvSpPr>
          <xdr:spPr>
            <a:xfrm>
              <a:off x="1714500" y="762000"/>
              <a:ext cx="510540" cy="175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latin typeface="72 Black" panose="020B0A04030603020204" pitchFamily="34" charset="0"/>
                  <a:cs typeface="72 Black" panose="020B0A04030603020204" pitchFamily="34" charset="0"/>
                </a:rPr>
                <a:t>FAQ</a:t>
              </a: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1185909</xdr:colOff>
      <xdr:row>0</xdr:row>
      <xdr:rowOff>1190625</xdr:rowOff>
    </xdr:to>
    <xdr:grpSp>
      <xdr:nvGrpSpPr>
        <xdr:cNvPr id="67" name="Group 66">
          <a:extLst>
            <a:ext uri="{FF2B5EF4-FFF2-40B4-BE49-F238E27FC236}">
              <a16:creationId xmlns:a16="http://schemas.microsoft.com/office/drawing/2014/main" id="{00000000-0008-0000-0B00-000043000000}"/>
            </a:ext>
          </a:extLst>
        </xdr:cNvPr>
        <xdr:cNvGrpSpPr/>
      </xdr:nvGrpSpPr>
      <xdr:grpSpPr>
        <a:xfrm>
          <a:off x="0" y="0"/>
          <a:ext cx="12625434" cy="1190625"/>
          <a:chOff x="0" y="0"/>
          <a:chExt cx="12198986" cy="1190625"/>
        </a:xfrm>
      </xdr:grpSpPr>
      <xdr:sp macro="" textlink="">
        <xdr:nvSpPr>
          <xdr:cNvPr id="68" name="TextBox 67">
            <a:extLst>
              <a:ext uri="{FF2B5EF4-FFF2-40B4-BE49-F238E27FC236}">
                <a16:creationId xmlns:a16="http://schemas.microsoft.com/office/drawing/2014/main" id="{00000000-0008-0000-0B00-000044000000}"/>
              </a:ext>
            </a:extLst>
          </xdr:cNvPr>
          <xdr:cNvSpPr txBox="1"/>
        </xdr:nvSpPr>
        <xdr:spPr>
          <a:xfrm>
            <a:off x="849027" y="17369"/>
            <a:ext cx="871625" cy="330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ABOUT</a:t>
            </a:r>
          </a:p>
        </xdr:txBody>
      </xdr:sp>
      <xdr:sp macro="" textlink="">
        <xdr:nvSpPr>
          <xdr:cNvPr id="69" name="TextBox 68">
            <a:extLst>
              <a:ext uri="{FF2B5EF4-FFF2-40B4-BE49-F238E27FC236}">
                <a16:creationId xmlns:a16="http://schemas.microsoft.com/office/drawing/2014/main" id="{00000000-0008-0000-0B00-000045000000}"/>
              </a:ext>
            </a:extLst>
          </xdr:cNvPr>
          <xdr:cNvSpPr txBox="1"/>
        </xdr:nvSpPr>
        <xdr:spPr>
          <a:xfrm>
            <a:off x="4905072" y="0"/>
            <a:ext cx="1460728" cy="336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DASHBOARD</a:t>
            </a:r>
          </a:p>
        </xdr:txBody>
      </xdr:sp>
      <xdr:sp macro="" textlink="">
        <xdr:nvSpPr>
          <xdr:cNvPr id="70" name="TextBox 69">
            <a:extLst>
              <a:ext uri="{FF2B5EF4-FFF2-40B4-BE49-F238E27FC236}">
                <a16:creationId xmlns:a16="http://schemas.microsoft.com/office/drawing/2014/main" id="{00000000-0008-0000-0B00-000046000000}"/>
              </a:ext>
            </a:extLst>
          </xdr:cNvPr>
          <xdr:cNvSpPr txBox="1"/>
        </xdr:nvSpPr>
        <xdr:spPr>
          <a:xfrm>
            <a:off x="7295787" y="9525"/>
            <a:ext cx="1640043" cy="336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CALCULATIONS</a:t>
            </a:r>
          </a:p>
        </xdr:txBody>
      </xdr:sp>
      <xdr:pic>
        <xdr:nvPicPr>
          <xdr:cNvPr id="71" name="Picture 70">
            <a:hlinkClick xmlns:r="http://schemas.openxmlformats.org/officeDocument/2006/relationships" r:id="rId1" tooltip="Education"/>
            <a:extLst>
              <a:ext uri="{FF2B5EF4-FFF2-40B4-BE49-F238E27FC236}">
                <a16:creationId xmlns:a16="http://schemas.microsoft.com/office/drawing/2014/main" id="{00000000-0008-0000-0B00-00004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1034" y="300037"/>
            <a:ext cx="781668" cy="762000"/>
          </a:xfrm>
          <a:prstGeom prst="rect">
            <a:avLst/>
          </a:prstGeom>
          <a:ln>
            <a:noFill/>
          </a:ln>
        </xdr:spPr>
      </xdr:pic>
      <xdr:pic>
        <xdr:nvPicPr>
          <xdr:cNvPr id="72" name="Picture 71">
            <a:hlinkClick xmlns:r="http://schemas.openxmlformats.org/officeDocument/2006/relationships" r:id="rId3" tooltip="Terms &amp; Conditions"/>
            <a:extLst>
              <a:ext uri="{FF2B5EF4-FFF2-40B4-BE49-F238E27FC236}">
                <a16:creationId xmlns:a16="http://schemas.microsoft.com/office/drawing/2014/main" id="{00000000-0008-0000-0B00-00004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75950" y="301561"/>
            <a:ext cx="779626" cy="758952"/>
          </a:xfrm>
          <a:prstGeom prst="rect">
            <a:avLst/>
          </a:prstGeom>
          <a:ln>
            <a:noFill/>
          </a:ln>
        </xdr:spPr>
      </xdr:pic>
      <xdr:pic>
        <xdr:nvPicPr>
          <xdr:cNvPr id="73" name="Picture 72">
            <a:hlinkClick xmlns:r="http://schemas.openxmlformats.org/officeDocument/2006/relationships" r:id="rId5" tooltip="User Guide"/>
            <a:extLst>
              <a:ext uri="{FF2B5EF4-FFF2-40B4-BE49-F238E27FC236}">
                <a16:creationId xmlns:a16="http://schemas.microsoft.com/office/drawing/2014/main" id="{00000000-0008-0000-0B00-00004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92593" y="301561"/>
            <a:ext cx="779626" cy="758952"/>
          </a:xfrm>
          <a:prstGeom prst="rect">
            <a:avLst/>
          </a:prstGeom>
        </xdr:spPr>
      </xdr:pic>
      <xdr:pic>
        <xdr:nvPicPr>
          <xdr:cNvPr id="74" name="Picture 73">
            <a:hlinkClick xmlns:r="http://schemas.openxmlformats.org/officeDocument/2006/relationships" r:id="rId7" tooltip="Dashboard"/>
            <a:extLst>
              <a:ext uri="{FF2B5EF4-FFF2-40B4-BE49-F238E27FC236}">
                <a16:creationId xmlns:a16="http://schemas.microsoft.com/office/drawing/2014/main" id="{00000000-0008-0000-0B00-00004A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924641" y="314325"/>
            <a:ext cx="779626" cy="758952"/>
          </a:xfrm>
          <a:prstGeom prst="rect">
            <a:avLst/>
          </a:prstGeom>
        </xdr:spPr>
      </xdr:pic>
      <xdr:pic>
        <xdr:nvPicPr>
          <xdr:cNvPr id="75" name="Picture 74">
            <a:hlinkClick xmlns:r="http://schemas.openxmlformats.org/officeDocument/2006/relationships" r:id="rId9" tooltip="Factors"/>
            <a:extLst>
              <a:ext uri="{FF2B5EF4-FFF2-40B4-BE49-F238E27FC236}">
                <a16:creationId xmlns:a16="http://schemas.microsoft.com/office/drawing/2014/main" id="{00000000-0008-0000-0B00-00004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323820" y="314325"/>
            <a:ext cx="779626" cy="758952"/>
          </a:xfrm>
          <a:prstGeom prst="rect">
            <a:avLst/>
          </a:prstGeom>
        </xdr:spPr>
      </xdr:pic>
      <xdr:pic>
        <xdr:nvPicPr>
          <xdr:cNvPr id="76" name="Picture 75">
            <a:hlinkClick xmlns:r="http://schemas.openxmlformats.org/officeDocument/2006/relationships" r:id="rId11" tooltip="Alternative Calculations"/>
            <a:extLst>
              <a:ext uri="{FF2B5EF4-FFF2-40B4-BE49-F238E27FC236}">
                <a16:creationId xmlns:a16="http://schemas.microsoft.com/office/drawing/2014/main" id="{00000000-0008-0000-0B00-00004C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678045" y="314325"/>
            <a:ext cx="779626" cy="758952"/>
          </a:xfrm>
          <a:prstGeom prst="rect">
            <a:avLst/>
          </a:prstGeom>
        </xdr:spPr>
      </xdr:pic>
      <xdr:pic>
        <xdr:nvPicPr>
          <xdr:cNvPr id="77" name="Picture 76">
            <a:hlinkClick xmlns:r="http://schemas.openxmlformats.org/officeDocument/2006/relationships" r:id="rId13" tooltip="Abbreviations"/>
            <a:extLst>
              <a:ext uri="{FF2B5EF4-FFF2-40B4-BE49-F238E27FC236}">
                <a16:creationId xmlns:a16="http://schemas.microsoft.com/office/drawing/2014/main" id="{00000000-0008-0000-0B00-00004D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909237" y="301561"/>
            <a:ext cx="783981" cy="758952"/>
          </a:xfrm>
          <a:prstGeom prst="rect">
            <a:avLst/>
          </a:prstGeom>
        </xdr:spPr>
      </xdr:pic>
      <xdr:pic>
        <xdr:nvPicPr>
          <xdr:cNvPr id="78" name="Picture 77">
            <a:hlinkClick xmlns:r="http://schemas.openxmlformats.org/officeDocument/2006/relationships" r:id="rId15" tooltip="Oil and Refined Products"/>
            <a:extLst>
              <a:ext uri="{FF2B5EF4-FFF2-40B4-BE49-F238E27FC236}">
                <a16:creationId xmlns:a16="http://schemas.microsoft.com/office/drawing/2014/main" id="{00000000-0008-0000-0B00-00004E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256651" y="304800"/>
            <a:ext cx="779626" cy="758952"/>
          </a:xfrm>
          <a:prstGeom prst="rect">
            <a:avLst/>
          </a:prstGeom>
        </xdr:spPr>
      </xdr:pic>
      <xdr:sp macro="" textlink="">
        <xdr:nvSpPr>
          <xdr:cNvPr id="79" name="Rectangle: Rounded Corners 78">
            <a:extLst>
              <a:ext uri="{FF2B5EF4-FFF2-40B4-BE49-F238E27FC236}">
                <a16:creationId xmlns:a16="http://schemas.microsoft.com/office/drawing/2014/main" id="{00000000-0008-0000-0B00-00004F000000}"/>
              </a:ext>
            </a:extLst>
          </xdr:cNvPr>
          <xdr:cNvSpPr/>
        </xdr:nvSpPr>
        <xdr:spPr>
          <a:xfrm>
            <a:off x="831680" y="57150"/>
            <a:ext cx="3885100" cy="11334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sp macro="" textlink="">
        <xdr:nvSpPr>
          <xdr:cNvPr id="80" name="Rectangle: Rounded Corners 79">
            <a:extLst>
              <a:ext uri="{FF2B5EF4-FFF2-40B4-BE49-F238E27FC236}">
                <a16:creationId xmlns:a16="http://schemas.microsoft.com/office/drawing/2014/main" id="{00000000-0008-0000-0B00-000050000000}"/>
              </a:ext>
            </a:extLst>
          </xdr:cNvPr>
          <xdr:cNvSpPr/>
        </xdr:nvSpPr>
        <xdr:spPr>
          <a:xfrm>
            <a:off x="7237082" y="47625"/>
            <a:ext cx="4881220" cy="11334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pic>
        <xdr:nvPicPr>
          <xdr:cNvPr id="81" name="Picture 80">
            <a:hlinkClick xmlns:r="http://schemas.openxmlformats.org/officeDocument/2006/relationships" r:id="rId17" tooltip="Home"/>
            <a:extLst>
              <a:ext uri="{FF2B5EF4-FFF2-40B4-BE49-F238E27FC236}">
                <a16:creationId xmlns:a16="http://schemas.microsoft.com/office/drawing/2014/main" id="{00000000-0008-0000-0B00-000051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0" y="323850"/>
            <a:ext cx="779626" cy="758952"/>
          </a:xfrm>
          <a:prstGeom prst="rect">
            <a:avLst/>
          </a:prstGeom>
        </xdr:spPr>
      </xdr:pic>
      <xdr:grpSp>
        <xdr:nvGrpSpPr>
          <xdr:cNvPr id="82" name="Group 81">
            <a:extLst>
              <a:ext uri="{FF2B5EF4-FFF2-40B4-BE49-F238E27FC236}">
                <a16:creationId xmlns:a16="http://schemas.microsoft.com/office/drawing/2014/main" id="{00000000-0008-0000-0B00-000052000000}"/>
              </a:ext>
            </a:extLst>
          </xdr:cNvPr>
          <xdr:cNvGrpSpPr/>
        </xdr:nvGrpSpPr>
        <xdr:grpSpPr>
          <a:xfrm>
            <a:off x="8739731" y="304801"/>
            <a:ext cx="779626" cy="652742"/>
            <a:chOff x="8739731" y="304801"/>
            <a:chExt cx="779626" cy="652742"/>
          </a:xfrm>
        </xdr:grpSpPr>
        <xdr:pic>
          <xdr:nvPicPr>
            <xdr:cNvPr id="99" name="Picture 98">
              <a:hlinkClick xmlns:r="http://schemas.openxmlformats.org/officeDocument/2006/relationships" r:id="rId19" tooltip="Gas &amp; LNG"/>
              <a:extLst>
                <a:ext uri="{FF2B5EF4-FFF2-40B4-BE49-F238E27FC236}">
                  <a16:creationId xmlns:a16="http://schemas.microsoft.com/office/drawing/2014/main" id="{00000000-0008-0000-0B00-000063000000}"/>
                </a:ext>
              </a:extLst>
            </xdr:cNvPr>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b="32893"/>
            <a:stretch/>
          </xdr:blipFill>
          <xdr:spPr>
            <a:xfrm>
              <a:off x="8739731" y="304801"/>
              <a:ext cx="779626" cy="509306"/>
            </a:xfrm>
            <a:prstGeom prst="rect">
              <a:avLst/>
            </a:prstGeom>
          </xdr:spPr>
        </xdr:pic>
        <xdr:sp macro="" textlink="">
          <xdr:nvSpPr>
            <xdr:cNvPr id="100" name="TextBox 99">
              <a:extLst>
                <a:ext uri="{FF2B5EF4-FFF2-40B4-BE49-F238E27FC236}">
                  <a16:creationId xmlns:a16="http://schemas.microsoft.com/office/drawing/2014/main" id="{00000000-0008-0000-0B00-000064000000}"/>
                </a:ext>
              </a:extLst>
            </xdr:cNvPr>
            <xdr:cNvSpPr txBox="1"/>
          </xdr:nvSpPr>
          <xdr:spPr>
            <a:xfrm>
              <a:off x="8846184" y="769283"/>
              <a:ext cx="537883" cy="18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NGLs</a:t>
              </a:r>
            </a:p>
          </xdr:txBody>
        </xdr:sp>
      </xdr:grpSp>
      <xdr:grpSp>
        <xdr:nvGrpSpPr>
          <xdr:cNvPr id="83" name="Group 82">
            <a:hlinkClick xmlns:r="http://schemas.openxmlformats.org/officeDocument/2006/relationships" r:id="rId21"/>
            <a:extLst>
              <a:ext uri="{FF2B5EF4-FFF2-40B4-BE49-F238E27FC236}">
                <a16:creationId xmlns:a16="http://schemas.microsoft.com/office/drawing/2014/main" id="{00000000-0008-0000-0B00-000053000000}"/>
              </a:ext>
            </a:extLst>
          </xdr:cNvPr>
          <xdr:cNvGrpSpPr/>
        </xdr:nvGrpSpPr>
        <xdr:grpSpPr>
          <a:xfrm>
            <a:off x="7963288" y="399140"/>
            <a:ext cx="936684" cy="558403"/>
            <a:chOff x="7252446" y="427715"/>
            <a:chExt cx="932330" cy="558403"/>
          </a:xfrm>
        </xdr:grpSpPr>
        <xdr:pic>
          <xdr:nvPicPr>
            <xdr:cNvPr id="97" name="Picture 96">
              <a:extLst>
                <a:ext uri="{FF2B5EF4-FFF2-40B4-BE49-F238E27FC236}">
                  <a16:creationId xmlns:a16="http://schemas.microsoft.com/office/drawing/2014/main" id="{00000000-0008-0000-0B00-000061000000}"/>
                </a:ext>
                <a:ext uri="{147F2762-F138-4A5C-976F-8EAC2B608ADB}">
                  <a16:predDERef xmlns:a16="http://schemas.microsoft.com/office/drawing/2014/main" pred="{EF1B35E2-6469-5D85-6D58-31B6837836BF}"/>
                </a:ext>
              </a:extLst>
            </xdr:cNvPr>
            <xdr:cNvPicPr>
              <a:picLocks noChangeAspect="1"/>
            </xdr:cNvPicPr>
          </xdr:nvPicPr>
          <xdr:blipFill>
            <a:blip xmlns:r="http://schemas.openxmlformats.org/officeDocument/2006/relationships" r:embed="rId22"/>
            <a:stretch>
              <a:fillRect/>
            </a:stretch>
          </xdr:blipFill>
          <xdr:spPr>
            <a:xfrm>
              <a:off x="7404131" y="427715"/>
              <a:ext cx="582522" cy="453422"/>
            </a:xfrm>
            <a:prstGeom prst="rect">
              <a:avLst/>
            </a:prstGeom>
          </xdr:spPr>
        </xdr:pic>
        <xdr:sp macro="" textlink="">
          <xdr:nvSpPr>
            <xdr:cNvPr id="98" name="TextBox 97">
              <a:extLst>
                <a:ext uri="{FF2B5EF4-FFF2-40B4-BE49-F238E27FC236}">
                  <a16:creationId xmlns:a16="http://schemas.microsoft.com/office/drawing/2014/main" id="{00000000-0008-0000-0B00-000062000000}"/>
                </a:ext>
              </a:extLst>
            </xdr:cNvPr>
            <xdr:cNvSpPr txBox="1"/>
          </xdr:nvSpPr>
          <xdr:spPr>
            <a:xfrm>
              <a:off x="7252446" y="815785"/>
              <a:ext cx="932330" cy="17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b="0">
                  <a:latin typeface="72 Black" panose="020B0A04030603020204" pitchFamily="34" charset="0"/>
                  <a:cs typeface="72 Black" panose="020B0A04030603020204" pitchFamily="34" charset="0"/>
                </a:rPr>
                <a:t>GAS</a:t>
              </a:r>
              <a:r>
                <a:rPr lang="en-US" sz="900" b="0" baseline="0">
                  <a:latin typeface="72 Black" panose="020B0A04030603020204" pitchFamily="34" charset="0"/>
                  <a:cs typeface="72 Black" panose="020B0A04030603020204" pitchFamily="34" charset="0"/>
                </a:rPr>
                <a:t> &amp; LNG</a:t>
              </a:r>
              <a:endParaRPr lang="en-US" sz="900" b="0">
                <a:latin typeface="72 Black" panose="020B0A04030603020204" pitchFamily="34" charset="0"/>
                <a:cs typeface="72 Black" panose="020B0A04030603020204" pitchFamily="34" charset="0"/>
              </a:endParaRPr>
            </a:p>
          </xdr:txBody>
        </xdr:sp>
      </xdr:grpSp>
      <xdr:grpSp>
        <xdr:nvGrpSpPr>
          <xdr:cNvPr id="84" name="Group 83">
            <a:hlinkClick xmlns:r="http://schemas.openxmlformats.org/officeDocument/2006/relationships" r:id="rId23"/>
            <a:extLst>
              <a:ext uri="{FF2B5EF4-FFF2-40B4-BE49-F238E27FC236}">
                <a16:creationId xmlns:a16="http://schemas.microsoft.com/office/drawing/2014/main" id="{00000000-0008-0000-0B00-000054000000}"/>
              </a:ext>
            </a:extLst>
          </xdr:cNvPr>
          <xdr:cNvGrpSpPr/>
        </xdr:nvGrpSpPr>
        <xdr:grpSpPr>
          <a:xfrm>
            <a:off x="10117854" y="449143"/>
            <a:ext cx="952892" cy="517367"/>
            <a:chOff x="9402658" y="477718"/>
            <a:chExt cx="952892" cy="517367"/>
          </a:xfrm>
        </xdr:grpSpPr>
        <xdr:pic>
          <xdr:nvPicPr>
            <xdr:cNvPr id="95" name="Picture 94">
              <a:extLst>
                <a:ext uri="{FF2B5EF4-FFF2-40B4-BE49-F238E27FC236}">
                  <a16:creationId xmlns:a16="http://schemas.microsoft.com/office/drawing/2014/main" id="{00000000-0008-0000-0B00-00005F000000}"/>
                </a:ext>
              </a:extLst>
            </xdr:cNvPr>
            <xdr:cNvPicPr>
              <a:picLocks noChangeAspect="1"/>
            </xdr:cNvPicPr>
          </xdr:nvPicPr>
          <xdr:blipFill>
            <a:blip xmlns:r="http://schemas.openxmlformats.org/officeDocument/2006/relationships" r:embed="rId24"/>
            <a:stretch>
              <a:fillRect/>
            </a:stretch>
          </xdr:blipFill>
          <xdr:spPr>
            <a:xfrm>
              <a:off x="9525454" y="477718"/>
              <a:ext cx="679846" cy="340639"/>
            </a:xfrm>
            <a:prstGeom prst="rect">
              <a:avLst/>
            </a:prstGeom>
          </xdr:spPr>
        </xdr:pic>
        <xdr:sp macro="" textlink="">
          <xdr:nvSpPr>
            <xdr:cNvPr id="96" name="TextBox 95">
              <a:extLst>
                <a:ext uri="{FF2B5EF4-FFF2-40B4-BE49-F238E27FC236}">
                  <a16:creationId xmlns:a16="http://schemas.microsoft.com/office/drawing/2014/main" id="{00000000-0008-0000-0B00-000060000000}"/>
                </a:ext>
              </a:extLst>
            </xdr:cNvPr>
            <xdr:cNvSpPr txBox="1"/>
          </xdr:nvSpPr>
          <xdr:spPr>
            <a:xfrm>
              <a:off x="9402658" y="806825"/>
              <a:ext cx="952892" cy="18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HYDROGEN</a:t>
              </a:r>
            </a:p>
          </xdr:txBody>
        </xdr:sp>
      </xdr:grpSp>
      <xdr:grpSp>
        <xdr:nvGrpSpPr>
          <xdr:cNvPr id="85" name="Group 84">
            <a:hlinkClick xmlns:r="http://schemas.openxmlformats.org/officeDocument/2006/relationships" r:id="rId25"/>
            <a:extLst>
              <a:ext uri="{FF2B5EF4-FFF2-40B4-BE49-F238E27FC236}">
                <a16:creationId xmlns:a16="http://schemas.microsoft.com/office/drawing/2014/main" id="{00000000-0008-0000-0B00-000055000000}"/>
              </a:ext>
            </a:extLst>
          </xdr:cNvPr>
          <xdr:cNvGrpSpPr/>
        </xdr:nvGrpSpPr>
        <xdr:grpSpPr>
          <a:xfrm>
            <a:off x="9340366" y="249331"/>
            <a:ext cx="841559" cy="690282"/>
            <a:chOff x="8625170" y="277906"/>
            <a:chExt cx="841559" cy="690282"/>
          </a:xfrm>
        </xdr:grpSpPr>
        <xdr:pic>
          <xdr:nvPicPr>
            <xdr:cNvPr id="93" name="Picture 92">
              <a:extLst>
                <a:ext uri="{FF2B5EF4-FFF2-40B4-BE49-F238E27FC236}">
                  <a16:creationId xmlns:a16="http://schemas.microsoft.com/office/drawing/2014/main" id="{00000000-0008-0000-0B00-00005D000000}"/>
                </a:ext>
                <a:ext uri="{147F2762-F138-4A5C-976F-8EAC2B608ADB}">
                  <a16:predDERef xmlns:a16="http://schemas.microsoft.com/office/drawing/2014/main" pred="{C3724981-7622-998F-1DE2-D8A1EDB791C5}"/>
                </a:ext>
              </a:extLst>
            </xdr:cNvPr>
            <xdr:cNvPicPr>
              <a:picLocks noChangeAspect="1"/>
            </xdr:cNvPicPr>
          </xdr:nvPicPr>
          <xdr:blipFill>
            <a:blip xmlns:r="http://schemas.openxmlformats.org/officeDocument/2006/relationships" r:embed="rId26"/>
            <a:stretch>
              <a:fillRect/>
            </a:stretch>
          </xdr:blipFill>
          <xdr:spPr>
            <a:xfrm>
              <a:off x="8686800" y="277906"/>
              <a:ext cx="685800" cy="577215"/>
            </a:xfrm>
            <a:prstGeom prst="rect">
              <a:avLst/>
            </a:prstGeom>
          </xdr:spPr>
        </xdr:pic>
        <xdr:sp macro="" textlink="">
          <xdr:nvSpPr>
            <xdr:cNvPr id="94" name="TextBox 93">
              <a:extLst>
                <a:ext uri="{FF2B5EF4-FFF2-40B4-BE49-F238E27FC236}">
                  <a16:creationId xmlns:a16="http://schemas.microsoft.com/office/drawing/2014/main" id="{00000000-0008-0000-0B00-00005E000000}"/>
                </a:ext>
              </a:extLst>
            </xdr:cNvPr>
            <xdr:cNvSpPr txBox="1"/>
          </xdr:nvSpPr>
          <xdr:spPr>
            <a:xfrm>
              <a:off x="8625170" y="808505"/>
              <a:ext cx="841559"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BIOFUELS</a:t>
              </a:r>
            </a:p>
          </xdr:txBody>
        </xdr:sp>
      </xdr:grpSp>
      <xdr:grpSp>
        <xdr:nvGrpSpPr>
          <xdr:cNvPr id="86" name="Group 85">
            <a:hlinkClick xmlns:r="http://schemas.openxmlformats.org/officeDocument/2006/relationships" r:id="rId27"/>
            <a:extLst>
              <a:ext uri="{FF2B5EF4-FFF2-40B4-BE49-F238E27FC236}">
                <a16:creationId xmlns:a16="http://schemas.microsoft.com/office/drawing/2014/main" id="{00000000-0008-0000-0B00-000056000000}"/>
              </a:ext>
            </a:extLst>
          </xdr:cNvPr>
          <xdr:cNvGrpSpPr/>
        </xdr:nvGrpSpPr>
        <xdr:grpSpPr>
          <a:xfrm>
            <a:off x="10773597" y="215530"/>
            <a:ext cx="1425389" cy="957239"/>
            <a:chOff x="10094261" y="244105"/>
            <a:chExt cx="1425389" cy="957239"/>
          </a:xfrm>
        </xdr:grpSpPr>
        <xdr:pic>
          <xdr:nvPicPr>
            <xdr:cNvPr id="91" name="Picture 90">
              <a:extLst>
                <a:ext uri="{FF2B5EF4-FFF2-40B4-BE49-F238E27FC236}">
                  <a16:creationId xmlns:a16="http://schemas.microsoft.com/office/drawing/2014/main" id="{00000000-0008-0000-0B00-00005B000000}"/>
                </a:ext>
                <a:ext uri="{147F2762-F138-4A5C-976F-8EAC2B608ADB}">
                  <a16:predDERef xmlns:a16="http://schemas.microsoft.com/office/drawing/2014/main" pred="{4BF98531-84AF-FD02-8989-724C2737A24A}"/>
                </a:ext>
              </a:extLst>
            </xdr:cNvPr>
            <xdr:cNvPicPr>
              <a:picLocks noChangeAspect="1"/>
            </xdr:cNvPicPr>
          </xdr:nvPicPr>
          <xdr:blipFill>
            <a:blip xmlns:r="http://schemas.openxmlformats.org/officeDocument/2006/relationships" r:embed="rId28"/>
            <a:stretch>
              <a:fillRect/>
            </a:stretch>
          </xdr:blipFill>
          <xdr:spPr>
            <a:xfrm>
              <a:off x="10548612" y="244105"/>
              <a:ext cx="458002" cy="608284"/>
            </a:xfrm>
            <a:prstGeom prst="rect">
              <a:avLst/>
            </a:prstGeom>
          </xdr:spPr>
        </xdr:pic>
        <xdr:sp macro="" textlink="">
          <xdr:nvSpPr>
            <xdr:cNvPr id="92" name="TextBox 91">
              <a:extLst>
                <a:ext uri="{FF2B5EF4-FFF2-40B4-BE49-F238E27FC236}">
                  <a16:creationId xmlns:a16="http://schemas.microsoft.com/office/drawing/2014/main" id="{00000000-0008-0000-0B00-00005C000000}"/>
                </a:ext>
              </a:extLst>
            </xdr:cNvPr>
            <xdr:cNvSpPr txBox="1"/>
          </xdr:nvSpPr>
          <xdr:spPr>
            <a:xfrm>
              <a:off x="10094261" y="797789"/>
              <a:ext cx="1425389" cy="403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LOWER</a:t>
              </a:r>
            </a:p>
            <a:p>
              <a:pPr algn="ctr"/>
              <a:r>
                <a:rPr lang="en-US" sz="1000" b="0" baseline="0">
                  <a:latin typeface="72 Black" panose="020B0A04030603020204" pitchFamily="34" charset="0"/>
                  <a:cs typeface="72 Black" panose="020B0A04030603020204" pitchFamily="34" charset="0"/>
                </a:rPr>
                <a:t> CARBON POWER</a:t>
              </a:r>
              <a:endParaRPr lang="en-US" sz="1000" b="0">
                <a:latin typeface="72 Black" panose="020B0A04030603020204" pitchFamily="34" charset="0"/>
                <a:cs typeface="72 Black" panose="020B0A04030603020204" pitchFamily="34" charset="0"/>
              </a:endParaRPr>
            </a:p>
          </xdr:txBody>
        </xdr:sp>
      </xdr:grpSp>
      <xdr:sp macro="" textlink="">
        <xdr:nvSpPr>
          <xdr:cNvPr id="87" name="Rectangle: Rounded Corners 86">
            <a:extLst>
              <a:ext uri="{FF2B5EF4-FFF2-40B4-BE49-F238E27FC236}">
                <a16:creationId xmlns:a16="http://schemas.microsoft.com/office/drawing/2014/main" id="{00000000-0008-0000-0B00-000057000000}"/>
              </a:ext>
            </a:extLst>
          </xdr:cNvPr>
          <xdr:cNvSpPr/>
        </xdr:nvSpPr>
        <xdr:spPr>
          <a:xfrm>
            <a:off x="4868141" y="64241"/>
            <a:ext cx="2230848" cy="1115483"/>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grpSp>
        <xdr:nvGrpSpPr>
          <xdr:cNvPr id="88" name="Group 87">
            <a:hlinkClick xmlns:r="http://schemas.openxmlformats.org/officeDocument/2006/relationships" r:id="rId29"/>
            <a:extLst>
              <a:ext uri="{FF2B5EF4-FFF2-40B4-BE49-F238E27FC236}">
                <a16:creationId xmlns:a16="http://schemas.microsoft.com/office/drawing/2014/main" id="{00000000-0008-0000-0B00-000058000000}"/>
              </a:ext>
            </a:extLst>
          </xdr:cNvPr>
          <xdr:cNvGrpSpPr/>
        </xdr:nvGrpSpPr>
        <xdr:grpSpPr>
          <a:xfrm>
            <a:off x="1717819" y="429577"/>
            <a:ext cx="521114" cy="502920"/>
            <a:chOff x="1714500" y="434340"/>
            <a:chExt cx="521114" cy="502920"/>
          </a:xfrm>
        </xdr:grpSpPr>
        <xdr:pic>
          <xdr:nvPicPr>
            <xdr:cNvPr id="89" name="Picture 88">
              <a:extLst>
                <a:ext uri="{FF2B5EF4-FFF2-40B4-BE49-F238E27FC236}">
                  <a16:creationId xmlns:a16="http://schemas.microsoft.com/office/drawing/2014/main" id="{00000000-0008-0000-0B00-000059000000}"/>
                </a:ext>
              </a:extLst>
            </xdr:cNvPr>
            <xdr:cNvPicPr>
              <a:picLocks noChangeAspect="1"/>
            </xdr:cNvPicPr>
          </xdr:nvPicPr>
          <xdr:blipFill>
            <a:blip xmlns:r="http://schemas.openxmlformats.org/officeDocument/2006/relationships" r:embed="rId30"/>
            <a:stretch>
              <a:fillRect/>
            </a:stretch>
          </xdr:blipFill>
          <xdr:spPr>
            <a:xfrm>
              <a:off x="1739946" y="434340"/>
              <a:ext cx="495668" cy="367536"/>
            </a:xfrm>
            <a:prstGeom prst="rect">
              <a:avLst/>
            </a:prstGeom>
          </xdr:spPr>
        </xdr:pic>
        <xdr:sp macro="" textlink="">
          <xdr:nvSpPr>
            <xdr:cNvPr id="90" name="TextBox 89">
              <a:extLst>
                <a:ext uri="{FF2B5EF4-FFF2-40B4-BE49-F238E27FC236}">
                  <a16:creationId xmlns:a16="http://schemas.microsoft.com/office/drawing/2014/main" id="{00000000-0008-0000-0B00-00005A000000}"/>
                </a:ext>
              </a:extLst>
            </xdr:cNvPr>
            <xdr:cNvSpPr txBox="1"/>
          </xdr:nvSpPr>
          <xdr:spPr>
            <a:xfrm>
              <a:off x="1714500" y="762000"/>
              <a:ext cx="510540" cy="175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latin typeface="72 Black" panose="020B0A04030603020204" pitchFamily="34" charset="0"/>
                  <a:cs typeface="72 Black" panose="020B0A04030603020204" pitchFamily="34" charset="0"/>
                </a:rPr>
                <a:t>FAQ</a:t>
              </a: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456566</xdr:colOff>
      <xdr:row>0</xdr:row>
      <xdr:rowOff>1190625</xdr:rowOff>
    </xdr:to>
    <xdr:grpSp>
      <xdr:nvGrpSpPr>
        <xdr:cNvPr id="169" name="Group 168">
          <a:extLst>
            <a:ext uri="{FF2B5EF4-FFF2-40B4-BE49-F238E27FC236}">
              <a16:creationId xmlns:a16="http://schemas.microsoft.com/office/drawing/2014/main" id="{00000000-0008-0000-0C00-0000A9000000}"/>
            </a:ext>
          </a:extLst>
        </xdr:cNvPr>
        <xdr:cNvGrpSpPr/>
      </xdr:nvGrpSpPr>
      <xdr:grpSpPr>
        <a:xfrm>
          <a:off x="0" y="0"/>
          <a:ext cx="11867516" cy="1190625"/>
          <a:chOff x="0" y="0"/>
          <a:chExt cx="12198986" cy="1190625"/>
        </a:xfrm>
      </xdr:grpSpPr>
      <xdr:sp macro="" textlink="">
        <xdr:nvSpPr>
          <xdr:cNvPr id="170" name="TextBox 169">
            <a:extLst>
              <a:ext uri="{FF2B5EF4-FFF2-40B4-BE49-F238E27FC236}">
                <a16:creationId xmlns:a16="http://schemas.microsoft.com/office/drawing/2014/main" id="{00000000-0008-0000-0C00-0000AA000000}"/>
              </a:ext>
            </a:extLst>
          </xdr:cNvPr>
          <xdr:cNvSpPr txBox="1"/>
        </xdr:nvSpPr>
        <xdr:spPr>
          <a:xfrm>
            <a:off x="849027" y="17369"/>
            <a:ext cx="871625" cy="330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ABOUT</a:t>
            </a:r>
          </a:p>
        </xdr:txBody>
      </xdr:sp>
      <xdr:sp macro="" textlink="">
        <xdr:nvSpPr>
          <xdr:cNvPr id="171" name="TextBox 170">
            <a:extLst>
              <a:ext uri="{FF2B5EF4-FFF2-40B4-BE49-F238E27FC236}">
                <a16:creationId xmlns:a16="http://schemas.microsoft.com/office/drawing/2014/main" id="{00000000-0008-0000-0C00-0000AB000000}"/>
              </a:ext>
            </a:extLst>
          </xdr:cNvPr>
          <xdr:cNvSpPr txBox="1"/>
        </xdr:nvSpPr>
        <xdr:spPr>
          <a:xfrm>
            <a:off x="4905072" y="0"/>
            <a:ext cx="1460728" cy="336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DASHBOARD</a:t>
            </a:r>
          </a:p>
        </xdr:txBody>
      </xdr:sp>
      <xdr:sp macro="" textlink="">
        <xdr:nvSpPr>
          <xdr:cNvPr id="172" name="TextBox 171">
            <a:extLst>
              <a:ext uri="{FF2B5EF4-FFF2-40B4-BE49-F238E27FC236}">
                <a16:creationId xmlns:a16="http://schemas.microsoft.com/office/drawing/2014/main" id="{00000000-0008-0000-0C00-0000AC000000}"/>
              </a:ext>
            </a:extLst>
          </xdr:cNvPr>
          <xdr:cNvSpPr txBox="1"/>
        </xdr:nvSpPr>
        <xdr:spPr>
          <a:xfrm>
            <a:off x="7295787" y="9525"/>
            <a:ext cx="1640043" cy="336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CALCULATIONS</a:t>
            </a:r>
          </a:p>
        </xdr:txBody>
      </xdr:sp>
      <xdr:pic>
        <xdr:nvPicPr>
          <xdr:cNvPr id="173" name="Picture 172">
            <a:hlinkClick xmlns:r="http://schemas.openxmlformats.org/officeDocument/2006/relationships" r:id="rId1" tooltip="Education"/>
            <a:extLst>
              <a:ext uri="{FF2B5EF4-FFF2-40B4-BE49-F238E27FC236}">
                <a16:creationId xmlns:a16="http://schemas.microsoft.com/office/drawing/2014/main" id="{00000000-0008-0000-0C00-0000A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1034" y="300037"/>
            <a:ext cx="781668" cy="762000"/>
          </a:xfrm>
          <a:prstGeom prst="rect">
            <a:avLst/>
          </a:prstGeom>
          <a:ln>
            <a:noFill/>
          </a:ln>
        </xdr:spPr>
      </xdr:pic>
      <xdr:pic>
        <xdr:nvPicPr>
          <xdr:cNvPr id="174" name="Picture 173">
            <a:hlinkClick xmlns:r="http://schemas.openxmlformats.org/officeDocument/2006/relationships" r:id="rId3" tooltip="Terms &amp; Conditions"/>
            <a:extLst>
              <a:ext uri="{FF2B5EF4-FFF2-40B4-BE49-F238E27FC236}">
                <a16:creationId xmlns:a16="http://schemas.microsoft.com/office/drawing/2014/main" id="{00000000-0008-0000-0C00-0000A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75950" y="301561"/>
            <a:ext cx="779626" cy="758952"/>
          </a:xfrm>
          <a:prstGeom prst="rect">
            <a:avLst/>
          </a:prstGeom>
          <a:ln>
            <a:noFill/>
          </a:ln>
        </xdr:spPr>
      </xdr:pic>
      <xdr:pic>
        <xdr:nvPicPr>
          <xdr:cNvPr id="175" name="Picture 174">
            <a:hlinkClick xmlns:r="http://schemas.openxmlformats.org/officeDocument/2006/relationships" r:id="rId5" tooltip="User Guide"/>
            <a:extLst>
              <a:ext uri="{FF2B5EF4-FFF2-40B4-BE49-F238E27FC236}">
                <a16:creationId xmlns:a16="http://schemas.microsoft.com/office/drawing/2014/main" id="{00000000-0008-0000-0C00-0000A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92593" y="301561"/>
            <a:ext cx="779626" cy="758952"/>
          </a:xfrm>
          <a:prstGeom prst="rect">
            <a:avLst/>
          </a:prstGeom>
        </xdr:spPr>
      </xdr:pic>
      <xdr:pic>
        <xdr:nvPicPr>
          <xdr:cNvPr id="176" name="Picture 175">
            <a:hlinkClick xmlns:r="http://schemas.openxmlformats.org/officeDocument/2006/relationships" r:id="rId7" tooltip="Dashboard"/>
            <a:extLst>
              <a:ext uri="{FF2B5EF4-FFF2-40B4-BE49-F238E27FC236}">
                <a16:creationId xmlns:a16="http://schemas.microsoft.com/office/drawing/2014/main" id="{00000000-0008-0000-0C00-0000B0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924641" y="314325"/>
            <a:ext cx="779626" cy="758952"/>
          </a:xfrm>
          <a:prstGeom prst="rect">
            <a:avLst/>
          </a:prstGeom>
        </xdr:spPr>
      </xdr:pic>
      <xdr:pic>
        <xdr:nvPicPr>
          <xdr:cNvPr id="177" name="Picture 176">
            <a:hlinkClick xmlns:r="http://schemas.openxmlformats.org/officeDocument/2006/relationships" r:id="rId9" tooltip="Factors"/>
            <a:extLst>
              <a:ext uri="{FF2B5EF4-FFF2-40B4-BE49-F238E27FC236}">
                <a16:creationId xmlns:a16="http://schemas.microsoft.com/office/drawing/2014/main" id="{00000000-0008-0000-0C00-0000B1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323820" y="314325"/>
            <a:ext cx="779626" cy="758952"/>
          </a:xfrm>
          <a:prstGeom prst="rect">
            <a:avLst/>
          </a:prstGeom>
        </xdr:spPr>
      </xdr:pic>
      <xdr:pic>
        <xdr:nvPicPr>
          <xdr:cNvPr id="178" name="Picture 177">
            <a:hlinkClick xmlns:r="http://schemas.openxmlformats.org/officeDocument/2006/relationships" r:id="rId11" tooltip="Alternative Calculations"/>
            <a:extLst>
              <a:ext uri="{FF2B5EF4-FFF2-40B4-BE49-F238E27FC236}">
                <a16:creationId xmlns:a16="http://schemas.microsoft.com/office/drawing/2014/main" id="{00000000-0008-0000-0C00-0000B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678045" y="314325"/>
            <a:ext cx="779626" cy="758952"/>
          </a:xfrm>
          <a:prstGeom prst="rect">
            <a:avLst/>
          </a:prstGeom>
        </xdr:spPr>
      </xdr:pic>
      <xdr:pic>
        <xdr:nvPicPr>
          <xdr:cNvPr id="179" name="Picture 178">
            <a:hlinkClick xmlns:r="http://schemas.openxmlformats.org/officeDocument/2006/relationships" r:id="rId13" tooltip="Abbreviations"/>
            <a:extLst>
              <a:ext uri="{FF2B5EF4-FFF2-40B4-BE49-F238E27FC236}">
                <a16:creationId xmlns:a16="http://schemas.microsoft.com/office/drawing/2014/main" id="{00000000-0008-0000-0C00-0000B3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909237" y="301561"/>
            <a:ext cx="783981" cy="758952"/>
          </a:xfrm>
          <a:prstGeom prst="rect">
            <a:avLst/>
          </a:prstGeom>
        </xdr:spPr>
      </xdr:pic>
      <xdr:pic>
        <xdr:nvPicPr>
          <xdr:cNvPr id="180" name="Picture 179">
            <a:hlinkClick xmlns:r="http://schemas.openxmlformats.org/officeDocument/2006/relationships" r:id="rId15" tooltip="Oil and Refined Products"/>
            <a:extLst>
              <a:ext uri="{FF2B5EF4-FFF2-40B4-BE49-F238E27FC236}">
                <a16:creationId xmlns:a16="http://schemas.microsoft.com/office/drawing/2014/main" id="{00000000-0008-0000-0C00-0000B4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256651" y="304800"/>
            <a:ext cx="779626" cy="758952"/>
          </a:xfrm>
          <a:prstGeom prst="rect">
            <a:avLst/>
          </a:prstGeom>
        </xdr:spPr>
      </xdr:pic>
      <xdr:sp macro="" textlink="">
        <xdr:nvSpPr>
          <xdr:cNvPr id="181" name="Rectangle: Rounded Corners 180">
            <a:extLst>
              <a:ext uri="{FF2B5EF4-FFF2-40B4-BE49-F238E27FC236}">
                <a16:creationId xmlns:a16="http://schemas.microsoft.com/office/drawing/2014/main" id="{00000000-0008-0000-0C00-0000B5000000}"/>
              </a:ext>
            </a:extLst>
          </xdr:cNvPr>
          <xdr:cNvSpPr/>
        </xdr:nvSpPr>
        <xdr:spPr>
          <a:xfrm>
            <a:off x="831680" y="57150"/>
            <a:ext cx="3885100" cy="11334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sp macro="" textlink="">
        <xdr:nvSpPr>
          <xdr:cNvPr id="182" name="Rectangle: Rounded Corners 181">
            <a:extLst>
              <a:ext uri="{FF2B5EF4-FFF2-40B4-BE49-F238E27FC236}">
                <a16:creationId xmlns:a16="http://schemas.microsoft.com/office/drawing/2014/main" id="{00000000-0008-0000-0C00-0000B6000000}"/>
              </a:ext>
            </a:extLst>
          </xdr:cNvPr>
          <xdr:cNvSpPr/>
        </xdr:nvSpPr>
        <xdr:spPr>
          <a:xfrm>
            <a:off x="7237082" y="47625"/>
            <a:ext cx="4881220" cy="11334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pic>
        <xdr:nvPicPr>
          <xdr:cNvPr id="183" name="Picture 182">
            <a:hlinkClick xmlns:r="http://schemas.openxmlformats.org/officeDocument/2006/relationships" r:id="rId17" tooltip="Home"/>
            <a:extLst>
              <a:ext uri="{FF2B5EF4-FFF2-40B4-BE49-F238E27FC236}">
                <a16:creationId xmlns:a16="http://schemas.microsoft.com/office/drawing/2014/main" id="{00000000-0008-0000-0C00-0000B7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0" y="323850"/>
            <a:ext cx="779626" cy="758952"/>
          </a:xfrm>
          <a:prstGeom prst="rect">
            <a:avLst/>
          </a:prstGeom>
        </xdr:spPr>
      </xdr:pic>
      <xdr:grpSp>
        <xdr:nvGrpSpPr>
          <xdr:cNvPr id="184" name="Group 183">
            <a:extLst>
              <a:ext uri="{FF2B5EF4-FFF2-40B4-BE49-F238E27FC236}">
                <a16:creationId xmlns:a16="http://schemas.microsoft.com/office/drawing/2014/main" id="{00000000-0008-0000-0C00-0000B8000000}"/>
              </a:ext>
            </a:extLst>
          </xdr:cNvPr>
          <xdr:cNvGrpSpPr/>
        </xdr:nvGrpSpPr>
        <xdr:grpSpPr>
          <a:xfrm>
            <a:off x="8739731" y="304801"/>
            <a:ext cx="779626" cy="652742"/>
            <a:chOff x="8739731" y="304801"/>
            <a:chExt cx="779626" cy="652742"/>
          </a:xfrm>
        </xdr:grpSpPr>
        <xdr:pic>
          <xdr:nvPicPr>
            <xdr:cNvPr id="201" name="Picture 200">
              <a:hlinkClick xmlns:r="http://schemas.openxmlformats.org/officeDocument/2006/relationships" r:id="rId19" tooltip="Gas &amp; LNG"/>
              <a:extLst>
                <a:ext uri="{FF2B5EF4-FFF2-40B4-BE49-F238E27FC236}">
                  <a16:creationId xmlns:a16="http://schemas.microsoft.com/office/drawing/2014/main" id="{00000000-0008-0000-0C00-0000C9000000}"/>
                </a:ext>
              </a:extLst>
            </xdr:cNvPr>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b="32893"/>
            <a:stretch/>
          </xdr:blipFill>
          <xdr:spPr>
            <a:xfrm>
              <a:off x="8739731" y="304801"/>
              <a:ext cx="779626" cy="509306"/>
            </a:xfrm>
            <a:prstGeom prst="rect">
              <a:avLst/>
            </a:prstGeom>
          </xdr:spPr>
        </xdr:pic>
        <xdr:sp macro="" textlink="">
          <xdr:nvSpPr>
            <xdr:cNvPr id="202" name="TextBox 201">
              <a:extLst>
                <a:ext uri="{FF2B5EF4-FFF2-40B4-BE49-F238E27FC236}">
                  <a16:creationId xmlns:a16="http://schemas.microsoft.com/office/drawing/2014/main" id="{00000000-0008-0000-0C00-0000CA000000}"/>
                </a:ext>
              </a:extLst>
            </xdr:cNvPr>
            <xdr:cNvSpPr txBox="1"/>
          </xdr:nvSpPr>
          <xdr:spPr>
            <a:xfrm>
              <a:off x="8846184" y="769283"/>
              <a:ext cx="537883" cy="18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NGLs</a:t>
              </a:r>
            </a:p>
          </xdr:txBody>
        </xdr:sp>
      </xdr:grpSp>
      <xdr:grpSp>
        <xdr:nvGrpSpPr>
          <xdr:cNvPr id="185" name="Group 184">
            <a:hlinkClick xmlns:r="http://schemas.openxmlformats.org/officeDocument/2006/relationships" r:id="rId21"/>
            <a:extLst>
              <a:ext uri="{FF2B5EF4-FFF2-40B4-BE49-F238E27FC236}">
                <a16:creationId xmlns:a16="http://schemas.microsoft.com/office/drawing/2014/main" id="{00000000-0008-0000-0C00-0000B9000000}"/>
              </a:ext>
            </a:extLst>
          </xdr:cNvPr>
          <xdr:cNvGrpSpPr/>
        </xdr:nvGrpSpPr>
        <xdr:grpSpPr>
          <a:xfrm>
            <a:off x="7963288" y="399140"/>
            <a:ext cx="936684" cy="558403"/>
            <a:chOff x="7252446" y="427715"/>
            <a:chExt cx="932330" cy="558403"/>
          </a:xfrm>
        </xdr:grpSpPr>
        <xdr:pic>
          <xdr:nvPicPr>
            <xdr:cNvPr id="199" name="Picture 198">
              <a:extLst>
                <a:ext uri="{FF2B5EF4-FFF2-40B4-BE49-F238E27FC236}">
                  <a16:creationId xmlns:a16="http://schemas.microsoft.com/office/drawing/2014/main" id="{00000000-0008-0000-0C00-0000C7000000}"/>
                </a:ext>
                <a:ext uri="{147F2762-F138-4A5C-976F-8EAC2B608ADB}">
                  <a16:predDERef xmlns:a16="http://schemas.microsoft.com/office/drawing/2014/main" pred="{EF1B35E2-6469-5D85-6D58-31B6837836BF}"/>
                </a:ext>
              </a:extLst>
            </xdr:cNvPr>
            <xdr:cNvPicPr>
              <a:picLocks noChangeAspect="1"/>
            </xdr:cNvPicPr>
          </xdr:nvPicPr>
          <xdr:blipFill>
            <a:blip xmlns:r="http://schemas.openxmlformats.org/officeDocument/2006/relationships" r:embed="rId22"/>
            <a:stretch>
              <a:fillRect/>
            </a:stretch>
          </xdr:blipFill>
          <xdr:spPr>
            <a:xfrm>
              <a:off x="7404131" y="427715"/>
              <a:ext cx="582522" cy="453422"/>
            </a:xfrm>
            <a:prstGeom prst="rect">
              <a:avLst/>
            </a:prstGeom>
          </xdr:spPr>
        </xdr:pic>
        <xdr:sp macro="" textlink="">
          <xdr:nvSpPr>
            <xdr:cNvPr id="200" name="TextBox 199">
              <a:extLst>
                <a:ext uri="{FF2B5EF4-FFF2-40B4-BE49-F238E27FC236}">
                  <a16:creationId xmlns:a16="http://schemas.microsoft.com/office/drawing/2014/main" id="{00000000-0008-0000-0C00-0000C8000000}"/>
                </a:ext>
              </a:extLst>
            </xdr:cNvPr>
            <xdr:cNvSpPr txBox="1"/>
          </xdr:nvSpPr>
          <xdr:spPr>
            <a:xfrm>
              <a:off x="7252446" y="815785"/>
              <a:ext cx="932330" cy="17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b="0">
                  <a:latin typeface="72 Black" panose="020B0A04030603020204" pitchFamily="34" charset="0"/>
                  <a:cs typeface="72 Black" panose="020B0A04030603020204" pitchFamily="34" charset="0"/>
                </a:rPr>
                <a:t>GAS</a:t>
              </a:r>
              <a:r>
                <a:rPr lang="en-US" sz="900" b="0" baseline="0">
                  <a:latin typeface="72 Black" panose="020B0A04030603020204" pitchFamily="34" charset="0"/>
                  <a:cs typeface="72 Black" panose="020B0A04030603020204" pitchFamily="34" charset="0"/>
                </a:rPr>
                <a:t> &amp; LNG</a:t>
              </a:r>
              <a:endParaRPr lang="en-US" sz="900" b="0">
                <a:latin typeface="72 Black" panose="020B0A04030603020204" pitchFamily="34" charset="0"/>
                <a:cs typeface="72 Black" panose="020B0A04030603020204" pitchFamily="34" charset="0"/>
              </a:endParaRPr>
            </a:p>
          </xdr:txBody>
        </xdr:sp>
      </xdr:grpSp>
      <xdr:grpSp>
        <xdr:nvGrpSpPr>
          <xdr:cNvPr id="186" name="Group 185">
            <a:hlinkClick xmlns:r="http://schemas.openxmlformats.org/officeDocument/2006/relationships" r:id="rId23"/>
            <a:extLst>
              <a:ext uri="{FF2B5EF4-FFF2-40B4-BE49-F238E27FC236}">
                <a16:creationId xmlns:a16="http://schemas.microsoft.com/office/drawing/2014/main" id="{00000000-0008-0000-0C00-0000BA000000}"/>
              </a:ext>
            </a:extLst>
          </xdr:cNvPr>
          <xdr:cNvGrpSpPr/>
        </xdr:nvGrpSpPr>
        <xdr:grpSpPr>
          <a:xfrm>
            <a:off x="10117854" y="449143"/>
            <a:ext cx="952892" cy="517367"/>
            <a:chOff x="9402658" y="477718"/>
            <a:chExt cx="952892" cy="517367"/>
          </a:xfrm>
        </xdr:grpSpPr>
        <xdr:pic>
          <xdr:nvPicPr>
            <xdr:cNvPr id="197" name="Picture 196">
              <a:extLst>
                <a:ext uri="{FF2B5EF4-FFF2-40B4-BE49-F238E27FC236}">
                  <a16:creationId xmlns:a16="http://schemas.microsoft.com/office/drawing/2014/main" id="{00000000-0008-0000-0C00-0000C5000000}"/>
                </a:ext>
              </a:extLst>
            </xdr:cNvPr>
            <xdr:cNvPicPr>
              <a:picLocks noChangeAspect="1"/>
            </xdr:cNvPicPr>
          </xdr:nvPicPr>
          <xdr:blipFill>
            <a:blip xmlns:r="http://schemas.openxmlformats.org/officeDocument/2006/relationships" r:embed="rId24"/>
            <a:stretch>
              <a:fillRect/>
            </a:stretch>
          </xdr:blipFill>
          <xdr:spPr>
            <a:xfrm>
              <a:off x="9525454" y="477718"/>
              <a:ext cx="679846" cy="340639"/>
            </a:xfrm>
            <a:prstGeom prst="rect">
              <a:avLst/>
            </a:prstGeom>
          </xdr:spPr>
        </xdr:pic>
        <xdr:sp macro="" textlink="">
          <xdr:nvSpPr>
            <xdr:cNvPr id="198" name="TextBox 197">
              <a:extLst>
                <a:ext uri="{FF2B5EF4-FFF2-40B4-BE49-F238E27FC236}">
                  <a16:creationId xmlns:a16="http://schemas.microsoft.com/office/drawing/2014/main" id="{00000000-0008-0000-0C00-0000C6000000}"/>
                </a:ext>
              </a:extLst>
            </xdr:cNvPr>
            <xdr:cNvSpPr txBox="1"/>
          </xdr:nvSpPr>
          <xdr:spPr>
            <a:xfrm>
              <a:off x="9402658" y="806825"/>
              <a:ext cx="952892" cy="18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HYDROGEN</a:t>
              </a:r>
            </a:p>
          </xdr:txBody>
        </xdr:sp>
      </xdr:grpSp>
      <xdr:grpSp>
        <xdr:nvGrpSpPr>
          <xdr:cNvPr id="187" name="Group 186">
            <a:hlinkClick xmlns:r="http://schemas.openxmlformats.org/officeDocument/2006/relationships" r:id="rId25"/>
            <a:extLst>
              <a:ext uri="{FF2B5EF4-FFF2-40B4-BE49-F238E27FC236}">
                <a16:creationId xmlns:a16="http://schemas.microsoft.com/office/drawing/2014/main" id="{00000000-0008-0000-0C00-0000BB000000}"/>
              </a:ext>
            </a:extLst>
          </xdr:cNvPr>
          <xdr:cNvGrpSpPr/>
        </xdr:nvGrpSpPr>
        <xdr:grpSpPr>
          <a:xfrm>
            <a:off x="9340366" y="249331"/>
            <a:ext cx="841559" cy="690282"/>
            <a:chOff x="8625170" y="277906"/>
            <a:chExt cx="841559" cy="690282"/>
          </a:xfrm>
        </xdr:grpSpPr>
        <xdr:pic>
          <xdr:nvPicPr>
            <xdr:cNvPr id="195" name="Picture 194">
              <a:extLst>
                <a:ext uri="{FF2B5EF4-FFF2-40B4-BE49-F238E27FC236}">
                  <a16:creationId xmlns:a16="http://schemas.microsoft.com/office/drawing/2014/main" id="{00000000-0008-0000-0C00-0000C3000000}"/>
                </a:ext>
                <a:ext uri="{147F2762-F138-4A5C-976F-8EAC2B608ADB}">
                  <a16:predDERef xmlns:a16="http://schemas.microsoft.com/office/drawing/2014/main" pred="{C3724981-7622-998F-1DE2-D8A1EDB791C5}"/>
                </a:ext>
              </a:extLst>
            </xdr:cNvPr>
            <xdr:cNvPicPr>
              <a:picLocks noChangeAspect="1"/>
            </xdr:cNvPicPr>
          </xdr:nvPicPr>
          <xdr:blipFill>
            <a:blip xmlns:r="http://schemas.openxmlformats.org/officeDocument/2006/relationships" r:embed="rId26"/>
            <a:stretch>
              <a:fillRect/>
            </a:stretch>
          </xdr:blipFill>
          <xdr:spPr>
            <a:xfrm>
              <a:off x="8686800" y="277906"/>
              <a:ext cx="685800" cy="577215"/>
            </a:xfrm>
            <a:prstGeom prst="rect">
              <a:avLst/>
            </a:prstGeom>
          </xdr:spPr>
        </xdr:pic>
        <xdr:sp macro="" textlink="">
          <xdr:nvSpPr>
            <xdr:cNvPr id="196" name="TextBox 195">
              <a:extLst>
                <a:ext uri="{FF2B5EF4-FFF2-40B4-BE49-F238E27FC236}">
                  <a16:creationId xmlns:a16="http://schemas.microsoft.com/office/drawing/2014/main" id="{00000000-0008-0000-0C00-0000C4000000}"/>
                </a:ext>
              </a:extLst>
            </xdr:cNvPr>
            <xdr:cNvSpPr txBox="1"/>
          </xdr:nvSpPr>
          <xdr:spPr>
            <a:xfrm>
              <a:off x="8625170" y="808505"/>
              <a:ext cx="841559"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BIOFUELS</a:t>
              </a:r>
            </a:p>
          </xdr:txBody>
        </xdr:sp>
      </xdr:grpSp>
      <xdr:grpSp>
        <xdr:nvGrpSpPr>
          <xdr:cNvPr id="188" name="Group 187">
            <a:hlinkClick xmlns:r="http://schemas.openxmlformats.org/officeDocument/2006/relationships" r:id="rId27"/>
            <a:extLst>
              <a:ext uri="{FF2B5EF4-FFF2-40B4-BE49-F238E27FC236}">
                <a16:creationId xmlns:a16="http://schemas.microsoft.com/office/drawing/2014/main" id="{00000000-0008-0000-0C00-0000BC000000}"/>
              </a:ext>
            </a:extLst>
          </xdr:cNvPr>
          <xdr:cNvGrpSpPr/>
        </xdr:nvGrpSpPr>
        <xdr:grpSpPr>
          <a:xfrm>
            <a:off x="10773597" y="215530"/>
            <a:ext cx="1425389" cy="957239"/>
            <a:chOff x="10094261" y="244105"/>
            <a:chExt cx="1425389" cy="957239"/>
          </a:xfrm>
        </xdr:grpSpPr>
        <xdr:pic>
          <xdr:nvPicPr>
            <xdr:cNvPr id="193" name="Picture 192">
              <a:extLst>
                <a:ext uri="{FF2B5EF4-FFF2-40B4-BE49-F238E27FC236}">
                  <a16:creationId xmlns:a16="http://schemas.microsoft.com/office/drawing/2014/main" id="{00000000-0008-0000-0C00-0000C1000000}"/>
                </a:ext>
                <a:ext uri="{147F2762-F138-4A5C-976F-8EAC2B608ADB}">
                  <a16:predDERef xmlns:a16="http://schemas.microsoft.com/office/drawing/2014/main" pred="{4BF98531-84AF-FD02-8989-724C2737A24A}"/>
                </a:ext>
              </a:extLst>
            </xdr:cNvPr>
            <xdr:cNvPicPr>
              <a:picLocks noChangeAspect="1"/>
            </xdr:cNvPicPr>
          </xdr:nvPicPr>
          <xdr:blipFill>
            <a:blip xmlns:r="http://schemas.openxmlformats.org/officeDocument/2006/relationships" r:embed="rId28"/>
            <a:stretch>
              <a:fillRect/>
            </a:stretch>
          </xdr:blipFill>
          <xdr:spPr>
            <a:xfrm>
              <a:off x="10548612" y="244105"/>
              <a:ext cx="458002" cy="608284"/>
            </a:xfrm>
            <a:prstGeom prst="rect">
              <a:avLst/>
            </a:prstGeom>
          </xdr:spPr>
        </xdr:pic>
        <xdr:sp macro="" textlink="">
          <xdr:nvSpPr>
            <xdr:cNvPr id="194" name="TextBox 193">
              <a:extLst>
                <a:ext uri="{FF2B5EF4-FFF2-40B4-BE49-F238E27FC236}">
                  <a16:creationId xmlns:a16="http://schemas.microsoft.com/office/drawing/2014/main" id="{00000000-0008-0000-0C00-0000C2000000}"/>
                </a:ext>
              </a:extLst>
            </xdr:cNvPr>
            <xdr:cNvSpPr txBox="1"/>
          </xdr:nvSpPr>
          <xdr:spPr>
            <a:xfrm>
              <a:off x="10094261" y="797789"/>
              <a:ext cx="1425389" cy="403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LOWER</a:t>
              </a:r>
            </a:p>
            <a:p>
              <a:pPr algn="ctr"/>
              <a:r>
                <a:rPr lang="en-US" sz="1000" b="0" baseline="0">
                  <a:latin typeface="72 Black" panose="020B0A04030603020204" pitchFamily="34" charset="0"/>
                  <a:cs typeface="72 Black" panose="020B0A04030603020204" pitchFamily="34" charset="0"/>
                </a:rPr>
                <a:t> CARBON POWER</a:t>
              </a:r>
              <a:endParaRPr lang="en-US" sz="1000" b="0">
                <a:latin typeface="72 Black" panose="020B0A04030603020204" pitchFamily="34" charset="0"/>
                <a:cs typeface="72 Black" panose="020B0A04030603020204" pitchFamily="34" charset="0"/>
              </a:endParaRPr>
            </a:p>
          </xdr:txBody>
        </xdr:sp>
      </xdr:grpSp>
      <xdr:sp macro="" textlink="">
        <xdr:nvSpPr>
          <xdr:cNvPr id="189" name="Rectangle: Rounded Corners 188">
            <a:extLst>
              <a:ext uri="{FF2B5EF4-FFF2-40B4-BE49-F238E27FC236}">
                <a16:creationId xmlns:a16="http://schemas.microsoft.com/office/drawing/2014/main" id="{00000000-0008-0000-0C00-0000BD000000}"/>
              </a:ext>
            </a:extLst>
          </xdr:cNvPr>
          <xdr:cNvSpPr/>
        </xdr:nvSpPr>
        <xdr:spPr>
          <a:xfrm>
            <a:off x="4868141" y="64241"/>
            <a:ext cx="2230848" cy="1115483"/>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grpSp>
        <xdr:nvGrpSpPr>
          <xdr:cNvPr id="190" name="Group 189">
            <a:hlinkClick xmlns:r="http://schemas.openxmlformats.org/officeDocument/2006/relationships" r:id="rId29"/>
            <a:extLst>
              <a:ext uri="{FF2B5EF4-FFF2-40B4-BE49-F238E27FC236}">
                <a16:creationId xmlns:a16="http://schemas.microsoft.com/office/drawing/2014/main" id="{00000000-0008-0000-0C00-0000BE000000}"/>
              </a:ext>
            </a:extLst>
          </xdr:cNvPr>
          <xdr:cNvGrpSpPr/>
        </xdr:nvGrpSpPr>
        <xdr:grpSpPr>
          <a:xfrm>
            <a:off x="1717819" y="429577"/>
            <a:ext cx="521114" cy="502920"/>
            <a:chOff x="1714500" y="434340"/>
            <a:chExt cx="521114" cy="502920"/>
          </a:xfrm>
        </xdr:grpSpPr>
        <xdr:pic>
          <xdr:nvPicPr>
            <xdr:cNvPr id="191" name="Picture 190">
              <a:extLst>
                <a:ext uri="{FF2B5EF4-FFF2-40B4-BE49-F238E27FC236}">
                  <a16:creationId xmlns:a16="http://schemas.microsoft.com/office/drawing/2014/main" id="{00000000-0008-0000-0C00-0000BF000000}"/>
                </a:ext>
              </a:extLst>
            </xdr:cNvPr>
            <xdr:cNvPicPr>
              <a:picLocks noChangeAspect="1"/>
            </xdr:cNvPicPr>
          </xdr:nvPicPr>
          <xdr:blipFill>
            <a:blip xmlns:r="http://schemas.openxmlformats.org/officeDocument/2006/relationships" r:embed="rId30"/>
            <a:stretch>
              <a:fillRect/>
            </a:stretch>
          </xdr:blipFill>
          <xdr:spPr>
            <a:xfrm>
              <a:off x="1739946" y="434340"/>
              <a:ext cx="495668" cy="367536"/>
            </a:xfrm>
            <a:prstGeom prst="rect">
              <a:avLst/>
            </a:prstGeom>
          </xdr:spPr>
        </xdr:pic>
        <xdr:sp macro="" textlink="">
          <xdr:nvSpPr>
            <xdr:cNvPr id="192" name="TextBox 191">
              <a:extLst>
                <a:ext uri="{FF2B5EF4-FFF2-40B4-BE49-F238E27FC236}">
                  <a16:creationId xmlns:a16="http://schemas.microsoft.com/office/drawing/2014/main" id="{00000000-0008-0000-0C00-0000C0000000}"/>
                </a:ext>
              </a:extLst>
            </xdr:cNvPr>
            <xdr:cNvSpPr txBox="1"/>
          </xdr:nvSpPr>
          <xdr:spPr>
            <a:xfrm>
              <a:off x="1714500" y="762000"/>
              <a:ext cx="510540" cy="175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latin typeface="72 Black" panose="020B0A04030603020204" pitchFamily="34" charset="0"/>
                  <a:cs typeface="72 Black" panose="020B0A04030603020204" pitchFamily="34" charset="0"/>
                </a:rPr>
                <a:t>FAQ</a:t>
              </a: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315052</xdr:colOff>
      <xdr:row>0</xdr:row>
      <xdr:rowOff>1190625</xdr:rowOff>
    </xdr:to>
    <xdr:grpSp>
      <xdr:nvGrpSpPr>
        <xdr:cNvPr id="101" name="Group 100">
          <a:extLst>
            <a:ext uri="{FF2B5EF4-FFF2-40B4-BE49-F238E27FC236}">
              <a16:creationId xmlns:a16="http://schemas.microsoft.com/office/drawing/2014/main" id="{00000000-0008-0000-0D00-000065000000}"/>
            </a:ext>
          </a:extLst>
        </xdr:cNvPr>
        <xdr:cNvGrpSpPr/>
      </xdr:nvGrpSpPr>
      <xdr:grpSpPr>
        <a:xfrm>
          <a:off x="0" y="0"/>
          <a:ext cx="11887927" cy="1190625"/>
          <a:chOff x="0" y="0"/>
          <a:chExt cx="12198986" cy="1190625"/>
        </a:xfrm>
      </xdr:grpSpPr>
      <xdr:sp macro="" textlink="">
        <xdr:nvSpPr>
          <xdr:cNvPr id="102" name="TextBox 101">
            <a:extLst>
              <a:ext uri="{FF2B5EF4-FFF2-40B4-BE49-F238E27FC236}">
                <a16:creationId xmlns:a16="http://schemas.microsoft.com/office/drawing/2014/main" id="{00000000-0008-0000-0D00-000066000000}"/>
              </a:ext>
            </a:extLst>
          </xdr:cNvPr>
          <xdr:cNvSpPr txBox="1"/>
        </xdr:nvSpPr>
        <xdr:spPr>
          <a:xfrm>
            <a:off x="849027" y="17369"/>
            <a:ext cx="871625" cy="330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ABOUT</a:t>
            </a:r>
          </a:p>
        </xdr:txBody>
      </xdr:sp>
      <xdr:sp macro="" textlink="">
        <xdr:nvSpPr>
          <xdr:cNvPr id="103" name="TextBox 102">
            <a:extLst>
              <a:ext uri="{FF2B5EF4-FFF2-40B4-BE49-F238E27FC236}">
                <a16:creationId xmlns:a16="http://schemas.microsoft.com/office/drawing/2014/main" id="{00000000-0008-0000-0D00-000067000000}"/>
              </a:ext>
            </a:extLst>
          </xdr:cNvPr>
          <xdr:cNvSpPr txBox="1"/>
        </xdr:nvSpPr>
        <xdr:spPr>
          <a:xfrm>
            <a:off x="4905072" y="0"/>
            <a:ext cx="1460728" cy="336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DASHBOARD</a:t>
            </a:r>
          </a:p>
        </xdr:txBody>
      </xdr:sp>
      <xdr:sp macro="" textlink="">
        <xdr:nvSpPr>
          <xdr:cNvPr id="104" name="TextBox 103">
            <a:extLst>
              <a:ext uri="{FF2B5EF4-FFF2-40B4-BE49-F238E27FC236}">
                <a16:creationId xmlns:a16="http://schemas.microsoft.com/office/drawing/2014/main" id="{00000000-0008-0000-0D00-000068000000}"/>
              </a:ext>
            </a:extLst>
          </xdr:cNvPr>
          <xdr:cNvSpPr txBox="1"/>
        </xdr:nvSpPr>
        <xdr:spPr>
          <a:xfrm>
            <a:off x="7295787" y="9525"/>
            <a:ext cx="1640043" cy="336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CALCULATIONS</a:t>
            </a:r>
          </a:p>
        </xdr:txBody>
      </xdr:sp>
      <xdr:pic>
        <xdr:nvPicPr>
          <xdr:cNvPr id="105" name="Picture 104">
            <a:hlinkClick xmlns:r="http://schemas.openxmlformats.org/officeDocument/2006/relationships" r:id="rId1" tooltip="Education"/>
            <a:extLst>
              <a:ext uri="{FF2B5EF4-FFF2-40B4-BE49-F238E27FC236}">
                <a16:creationId xmlns:a16="http://schemas.microsoft.com/office/drawing/2014/main" id="{00000000-0008-0000-0D00-00006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1034" y="300037"/>
            <a:ext cx="781668" cy="762000"/>
          </a:xfrm>
          <a:prstGeom prst="rect">
            <a:avLst/>
          </a:prstGeom>
          <a:ln>
            <a:noFill/>
          </a:ln>
        </xdr:spPr>
      </xdr:pic>
      <xdr:pic>
        <xdr:nvPicPr>
          <xdr:cNvPr id="106" name="Picture 105">
            <a:hlinkClick xmlns:r="http://schemas.openxmlformats.org/officeDocument/2006/relationships" r:id="rId3" tooltip="Terms &amp; Conditions"/>
            <a:extLst>
              <a:ext uri="{FF2B5EF4-FFF2-40B4-BE49-F238E27FC236}">
                <a16:creationId xmlns:a16="http://schemas.microsoft.com/office/drawing/2014/main" id="{00000000-0008-0000-0D00-00006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75950" y="301561"/>
            <a:ext cx="779626" cy="758952"/>
          </a:xfrm>
          <a:prstGeom prst="rect">
            <a:avLst/>
          </a:prstGeom>
          <a:ln>
            <a:noFill/>
          </a:ln>
        </xdr:spPr>
      </xdr:pic>
      <xdr:pic>
        <xdr:nvPicPr>
          <xdr:cNvPr id="107" name="Picture 106">
            <a:hlinkClick xmlns:r="http://schemas.openxmlformats.org/officeDocument/2006/relationships" r:id="rId5" tooltip="User Guide"/>
            <a:extLst>
              <a:ext uri="{FF2B5EF4-FFF2-40B4-BE49-F238E27FC236}">
                <a16:creationId xmlns:a16="http://schemas.microsoft.com/office/drawing/2014/main" id="{00000000-0008-0000-0D00-00006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92593" y="301561"/>
            <a:ext cx="779626" cy="758952"/>
          </a:xfrm>
          <a:prstGeom prst="rect">
            <a:avLst/>
          </a:prstGeom>
        </xdr:spPr>
      </xdr:pic>
      <xdr:pic>
        <xdr:nvPicPr>
          <xdr:cNvPr id="108" name="Picture 107">
            <a:hlinkClick xmlns:r="http://schemas.openxmlformats.org/officeDocument/2006/relationships" r:id="rId7" tooltip="Dashboard"/>
            <a:extLst>
              <a:ext uri="{FF2B5EF4-FFF2-40B4-BE49-F238E27FC236}">
                <a16:creationId xmlns:a16="http://schemas.microsoft.com/office/drawing/2014/main" id="{00000000-0008-0000-0D00-00006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924641" y="314325"/>
            <a:ext cx="779626" cy="758952"/>
          </a:xfrm>
          <a:prstGeom prst="rect">
            <a:avLst/>
          </a:prstGeom>
        </xdr:spPr>
      </xdr:pic>
      <xdr:pic>
        <xdr:nvPicPr>
          <xdr:cNvPr id="109" name="Picture 108">
            <a:hlinkClick xmlns:r="http://schemas.openxmlformats.org/officeDocument/2006/relationships" r:id="rId9" tooltip="Factors"/>
            <a:extLst>
              <a:ext uri="{FF2B5EF4-FFF2-40B4-BE49-F238E27FC236}">
                <a16:creationId xmlns:a16="http://schemas.microsoft.com/office/drawing/2014/main" id="{00000000-0008-0000-0D00-00006D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323820" y="314325"/>
            <a:ext cx="779626" cy="758952"/>
          </a:xfrm>
          <a:prstGeom prst="rect">
            <a:avLst/>
          </a:prstGeom>
        </xdr:spPr>
      </xdr:pic>
      <xdr:pic>
        <xdr:nvPicPr>
          <xdr:cNvPr id="110" name="Picture 109">
            <a:hlinkClick xmlns:r="http://schemas.openxmlformats.org/officeDocument/2006/relationships" r:id="rId11" tooltip="Alternative Calculations"/>
            <a:extLst>
              <a:ext uri="{FF2B5EF4-FFF2-40B4-BE49-F238E27FC236}">
                <a16:creationId xmlns:a16="http://schemas.microsoft.com/office/drawing/2014/main" id="{00000000-0008-0000-0D00-00006E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678045" y="314325"/>
            <a:ext cx="779626" cy="758952"/>
          </a:xfrm>
          <a:prstGeom prst="rect">
            <a:avLst/>
          </a:prstGeom>
        </xdr:spPr>
      </xdr:pic>
      <xdr:pic>
        <xdr:nvPicPr>
          <xdr:cNvPr id="111" name="Picture 110">
            <a:hlinkClick xmlns:r="http://schemas.openxmlformats.org/officeDocument/2006/relationships" r:id="rId13" tooltip="Abbreviations"/>
            <a:extLst>
              <a:ext uri="{FF2B5EF4-FFF2-40B4-BE49-F238E27FC236}">
                <a16:creationId xmlns:a16="http://schemas.microsoft.com/office/drawing/2014/main" id="{00000000-0008-0000-0D00-00006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909237" y="301561"/>
            <a:ext cx="783981" cy="758952"/>
          </a:xfrm>
          <a:prstGeom prst="rect">
            <a:avLst/>
          </a:prstGeom>
        </xdr:spPr>
      </xdr:pic>
      <xdr:pic>
        <xdr:nvPicPr>
          <xdr:cNvPr id="112" name="Picture 111">
            <a:hlinkClick xmlns:r="http://schemas.openxmlformats.org/officeDocument/2006/relationships" r:id="rId15" tooltip="Oil and Refined Products"/>
            <a:extLst>
              <a:ext uri="{FF2B5EF4-FFF2-40B4-BE49-F238E27FC236}">
                <a16:creationId xmlns:a16="http://schemas.microsoft.com/office/drawing/2014/main" id="{00000000-0008-0000-0D00-000070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256651" y="304800"/>
            <a:ext cx="779626" cy="758952"/>
          </a:xfrm>
          <a:prstGeom prst="rect">
            <a:avLst/>
          </a:prstGeom>
        </xdr:spPr>
      </xdr:pic>
      <xdr:sp macro="" textlink="">
        <xdr:nvSpPr>
          <xdr:cNvPr id="113" name="Rectangle: Rounded Corners 112">
            <a:extLst>
              <a:ext uri="{FF2B5EF4-FFF2-40B4-BE49-F238E27FC236}">
                <a16:creationId xmlns:a16="http://schemas.microsoft.com/office/drawing/2014/main" id="{00000000-0008-0000-0D00-000071000000}"/>
              </a:ext>
            </a:extLst>
          </xdr:cNvPr>
          <xdr:cNvSpPr/>
        </xdr:nvSpPr>
        <xdr:spPr>
          <a:xfrm>
            <a:off x="831680" y="57150"/>
            <a:ext cx="3885100" cy="11334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sp macro="" textlink="">
        <xdr:nvSpPr>
          <xdr:cNvPr id="114" name="Rectangle: Rounded Corners 113">
            <a:extLst>
              <a:ext uri="{FF2B5EF4-FFF2-40B4-BE49-F238E27FC236}">
                <a16:creationId xmlns:a16="http://schemas.microsoft.com/office/drawing/2014/main" id="{00000000-0008-0000-0D00-000072000000}"/>
              </a:ext>
            </a:extLst>
          </xdr:cNvPr>
          <xdr:cNvSpPr/>
        </xdr:nvSpPr>
        <xdr:spPr>
          <a:xfrm>
            <a:off x="7237082" y="47625"/>
            <a:ext cx="4881220" cy="11334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pic>
        <xdr:nvPicPr>
          <xdr:cNvPr id="115" name="Picture 114">
            <a:hlinkClick xmlns:r="http://schemas.openxmlformats.org/officeDocument/2006/relationships" r:id="rId17" tooltip="Home"/>
            <a:extLst>
              <a:ext uri="{FF2B5EF4-FFF2-40B4-BE49-F238E27FC236}">
                <a16:creationId xmlns:a16="http://schemas.microsoft.com/office/drawing/2014/main" id="{00000000-0008-0000-0D00-000073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0" y="323850"/>
            <a:ext cx="779626" cy="758952"/>
          </a:xfrm>
          <a:prstGeom prst="rect">
            <a:avLst/>
          </a:prstGeom>
        </xdr:spPr>
      </xdr:pic>
      <xdr:grpSp>
        <xdr:nvGrpSpPr>
          <xdr:cNvPr id="116" name="Group 115">
            <a:extLst>
              <a:ext uri="{FF2B5EF4-FFF2-40B4-BE49-F238E27FC236}">
                <a16:creationId xmlns:a16="http://schemas.microsoft.com/office/drawing/2014/main" id="{00000000-0008-0000-0D00-000074000000}"/>
              </a:ext>
            </a:extLst>
          </xdr:cNvPr>
          <xdr:cNvGrpSpPr/>
        </xdr:nvGrpSpPr>
        <xdr:grpSpPr>
          <a:xfrm>
            <a:off x="8739731" y="304801"/>
            <a:ext cx="779626" cy="652742"/>
            <a:chOff x="8739731" y="304801"/>
            <a:chExt cx="779626" cy="652742"/>
          </a:xfrm>
        </xdr:grpSpPr>
        <xdr:pic>
          <xdr:nvPicPr>
            <xdr:cNvPr id="133" name="Picture 132">
              <a:hlinkClick xmlns:r="http://schemas.openxmlformats.org/officeDocument/2006/relationships" r:id="rId19" tooltip="Gas &amp; LNG"/>
              <a:extLst>
                <a:ext uri="{FF2B5EF4-FFF2-40B4-BE49-F238E27FC236}">
                  <a16:creationId xmlns:a16="http://schemas.microsoft.com/office/drawing/2014/main" id="{00000000-0008-0000-0D00-000085000000}"/>
                </a:ext>
              </a:extLst>
            </xdr:cNvPr>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b="32893"/>
            <a:stretch/>
          </xdr:blipFill>
          <xdr:spPr>
            <a:xfrm>
              <a:off x="8739731" y="304801"/>
              <a:ext cx="779626" cy="509306"/>
            </a:xfrm>
            <a:prstGeom prst="rect">
              <a:avLst/>
            </a:prstGeom>
          </xdr:spPr>
        </xdr:pic>
        <xdr:sp macro="" textlink="">
          <xdr:nvSpPr>
            <xdr:cNvPr id="134" name="TextBox 133">
              <a:extLst>
                <a:ext uri="{FF2B5EF4-FFF2-40B4-BE49-F238E27FC236}">
                  <a16:creationId xmlns:a16="http://schemas.microsoft.com/office/drawing/2014/main" id="{00000000-0008-0000-0D00-000086000000}"/>
                </a:ext>
              </a:extLst>
            </xdr:cNvPr>
            <xdr:cNvSpPr txBox="1"/>
          </xdr:nvSpPr>
          <xdr:spPr>
            <a:xfrm>
              <a:off x="8846184" y="769283"/>
              <a:ext cx="537883" cy="18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NGLs</a:t>
              </a:r>
            </a:p>
          </xdr:txBody>
        </xdr:sp>
      </xdr:grpSp>
      <xdr:grpSp>
        <xdr:nvGrpSpPr>
          <xdr:cNvPr id="117" name="Group 116">
            <a:hlinkClick xmlns:r="http://schemas.openxmlformats.org/officeDocument/2006/relationships" r:id="rId21"/>
            <a:extLst>
              <a:ext uri="{FF2B5EF4-FFF2-40B4-BE49-F238E27FC236}">
                <a16:creationId xmlns:a16="http://schemas.microsoft.com/office/drawing/2014/main" id="{00000000-0008-0000-0D00-000075000000}"/>
              </a:ext>
            </a:extLst>
          </xdr:cNvPr>
          <xdr:cNvGrpSpPr/>
        </xdr:nvGrpSpPr>
        <xdr:grpSpPr>
          <a:xfrm>
            <a:off x="7963288" y="399140"/>
            <a:ext cx="936684" cy="558403"/>
            <a:chOff x="7252446" y="427715"/>
            <a:chExt cx="932330" cy="558403"/>
          </a:xfrm>
        </xdr:grpSpPr>
        <xdr:pic>
          <xdr:nvPicPr>
            <xdr:cNvPr id="131" name="Picture 130">
              <a:extLst>
                <a:ext uri="{FF2B5EF4-FFF2-40B4-BE49-F238E27FC236}">
                  <a16:creationId xmlns:a16="http://schemas.microsoft.com/office/drawing/2014/main" id="{00000000-0008-0000-0D00-000083000000}"/>
                </a:ext>
                <a:ext uri="{147F2762-F138-4A5C-976F-8EAC2B608ADB}">
                  <a16:predDERef xmlns:a16="http://schemas.microsoft.com/office/drawing/2014/main" pred="{EF1B35E2-6469-5D85-6D58-31B6837836BF}"/>
                </a:ext>
              </a:extLst>
            </xdr:cNvPr>
            <xdr:cNvPicPr>
              <a:picLocks noChangeAspect="1"/>
            </xdr:cNvPicPr>
          </xdr:nvPicPr>
          <xdr:blipFill>
            <a:blip xmlns:r="http://schemas.openxmlformats.org/officeDocument/2006/relationships" r:embed="rId22"/>
            <a:stretch>
              <a:fillRect/>
            </a:stretch>
          </xdr:blipFill>
          <xdr:spPr>
            <a:xfrm>
              <a:off x="7404131" y="427715"/>
              <a:ext cx="582522" cy="453422"/>
            </a:xfrm>
            <a:prstGeom prst="rect">
              <a:avLst/>
            </a:prstGeom>
          </xdr:spPr>
        </xdr:pic>
        <xdr:sp macro="" textlink="">
          <xdr:nvSpPr>
            <xdr:cNvPr id="132" name="TextBox 131">
              <a:extLst>
                <a:ext uri="{FF2B5EF4-FFF2-40B4-BE49-F238E27FC236}">
                  <a16:creationId xmlns:a16="http://schemas.microsoft.com/office/drawing/2014/main" id="{00000000-0008-0000-0D00-000084000000}"/>
                </a:ext>
              </a:extLst>
            </xdr:cNvPr>
            <xdr:cNvSpPr txBox="1"/>
          </xdr:nvSpPr>
          <xdr:spPr>
            <a:xfrm>
              <a:off x="7252446" y="815785"/>
              <a:ext cx="932330" cy="17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b="0">
                  <a:latin typeface="72 Black" panose="020B0A04030603020204" pitchFamily="34" charset="0"/>
                  <a:cs typeface="72 Black" panose="020B0A04030603020204" pitchFamily="34" charset="0"/>
                </a:rPr>
                <a:t>GAS</a:t>
              </a:r>
              <a:r>
                <a:rPr lang="en-US" sz="900" b="0" baseline="0">
                  <a:latin typeface="72 Black" panose="020B0A04030603020204" pitchFamily="34" charset="0"/>
                  <a:cs typeface="72 Black" panose="020B0A04030603020204" pitchFamily="34" charset="0"/>
                </a:rPr>
                <a:t> &amp; LNG</a:t>
              </a:r>
              <a:endParaRPr lang="en-US" sz="900" b="0">
                <a:latin typeface="72 Black" panose="020B0A04030603020204" pitchFamily="34" charset="0"/>
                <a:cs typeface="72 Black" panose="020B0A04030603020204" pitchFamily="34" charset="0"/>
              </a:endParaRPr>
            </a:p>
          </xdr:txBody>
        </xdr:sp>
      </xdr:grpSp>
      <xdr:grpSp>
        <xdr:nvGrpSpPr>
          <xdr:cNvPr id="118" name="Group 117">
            <a:hlinkClick xmlns:r="http://schemas.openxmlformats.org/officeDocument/2006/relationships" r:id="rId23"/>
            <a:extLst>
              <a:ext uri="{FF2B5EF4-FFF2-40B4-BE49-F238E27FC236}">
                <a16:creationId xmlns:a16="http://schemas.microsoft.com/office/drawing/2014/main" id="{00000000-0008-0000-0D00-000076000000}"/>
              </a:ext>
            </a:extLst>
          </xdr:cNvPr>
          <xdr:cNvGrpSpPr/>
        </xdr:nvGrpSpPr>
        <xdr:grpSpPr>
          <a:xfrm>
            <a:off x="10117854" y="449143"/>
            <a:ext cx="952892" cy="517367"/>
            <a:chOff x="9402658" y="477718"/>
            <a:chExt cx="952892" cy="517367"/>
          </a:xfrm>
        </xdr:grpSpPr>
        <xdr:pic>
          <xdr:nvPicPr>
            <xdr:cNvPr id="129" name="Picture 128">
              <a:extLst>
                <a:ext uri="{FF2B5EF4-FFF2-40B4-BE49-F238E27FC236}">
                  <a16:creationId xmlns:a16="http://schemas.microsoft.com/office/drawing/2014/main" id="{00000000-0008-0000-0D00-000081000000}"/>
                </a:ext>
              </a:extLst>
            </xdr:cNvPr>
            <xdr:cNvPicPr>
              <a:picLocks noChangeAspect="1"/>
            </xdr:cNvPicPr>
          </xdr:nvPicPr>
          <xdr:blipFill>
            <a:blip xmlns:r="http://schemas.openxmlformats.org/officeDocument/2006/relationships" r:embed="rId24"/>
            <a:stretch>
              <a:fillRect/>
            </a:stretch>
          </xdr:blipFill>
          <xdr:spPr>
            <a:xfrm>
              <a:off x="9525454" y="477718"/>
              <a:ext cx="679846" cy="340639"/>
            </a:xfrm>
            <a:prstGeom prst="rect">
              <a:avLst/>
            </a:prstGeom>
          </xdr:spPr>
        </xdr:pic>
        <xdr:sp macro="" textlink="">
          <xdr:nvSpPr>
            <xdr:cNvPr id="130" name="TextBox 129">
              <a:extLst>
                <a:ext uri="{FF2B5EF4-FFF2-40B4-BE49-F238E27FC236}">
                  <a16:creationId xmlns:a16="http://schemas.microsoft.com/office/drawing/2014/main" id="{00000000-0008-0000-0D00-000082000000}"/>
                </a:ext>
              </a:extLst>
            </xdr:cNvPr>
            <xdr:cNvSpPr txBox="1"/>
          </xdr:nvSpPr>
          <xdr:spPr>
            <a:xfrm>
              <a:off x="9402658" y="806825"/>
              <a:ext cx="952892" cy="18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HYDROGEN</a:t>
              </a:r>
            </a:p>
          </xdr:txBody>
        </xdr:sp>
      </xdr:grpSp>
      <xdr:grpSp>
        <xdr:nvGrpSpPr>
          <xdr:cNvPr id="119" name="Group 118">
            <a:hlinkClick xmlns:r="http://schemas.openxmlformats.org/officeDocument/2006/relationships" r:id="rId25"/>
            <a:extLst>
              <a:ext uri="{FF2B5EF4-FFF2-40B4-BE49-F238E27FC236}">
                <a16:creationId xmlns:a16="http://schemas.microsoft.com/office/drawing/2014/main" id="{00000000-0008-0000-0D00-000077000000}"/>
              </a:ext>
            </a:extLst>
          </xdr:cNvPr>
          <xdr:cNvGrpSpPr/>
        </xdr:nvGrpSpPr>
        <xdr:grpSpPr>
          <a:xfrm>
            <a:off x="9340366" y="249331"/>
            <a:ext cx="841559" cy="690282"/>
            <a:chOff x="8625170" y="277906"/>
            <a:chExt cx="841559" cy="690282"/>
          </a:xfrm>
        </xdr:grpSpPr>
        <xdr:pic>
          <xdr:nvPicPr>
            <xdr:cNvPr id="127" name="Picture 126">
              <a:extLst>
                <a:ext uri="{FF2B5EF4-FFF2-40B4-BE49-F238E27FC236}">
                  <a16:creationId xmlns:a16="http://schemas.microsoft.com/office/drawing/2014/main" id="{00000000-0008-0000-0D00-00007F000000}"/>
                </a:ext>
                <a:ext uri="{147F2762-F138-4A5C-976F-8EAC2B608ADB}">
                  <a16:predDERef xmlns:a16="http://schemas.microsoft.com/office/drawing/2014/main" pred="{C3724981-7622-998F-1DE2-D8A1EDB791C5}"/>
                </a:ext>
              </a:extLst>
            </xdr:cNvPr>
            <xdr:cNvPicPr>
              <a:picLocks noChangeAspect="1"/>
            </xdr:cNvPicPr>
          </xdr:nvPicPr>
          <xdr:blipFill>
            <a:blip xmlns:r="http://schemas.openxmlformats.org/officeDocument/2006/relationships" r:embed="rId26"/>
            <a:stretch>
              <a:fillRect/>
            </a:stretch>
          </xdr:blipFill>
          <xdr:spPr>
            <a:xfrm>
              <a:off x="8686800" y="277906"/>
              <a:ext cx="685800" cy="577215"/>
            </a:xfrm>
            <a:prstGeom prst="rect">
              <a:avLst/>
            </a:prstGeom>
          </xdr:spPr>
        </xdr:pic>
        <xdr:sp macro="" textlink="">
          <xdr:nvSpPr>
            <xdr:cNvPr id="128" name="TextBox 127">
              <a:extLst>
                <a:ext uri="{FF2B5EF4-FFF2-40B4-BE49-F238E27FC236}">
                  <a16:creationId xmlns:a16="http://schemas.microsoft.com/office/drawing/2014/main" id="{00000000-0008-0000-0D00-000080000000}"/>
                </a:ext>
              </a:extLst>
            </xdr:cNvPr>
            <xdr:cNvSpPr txBox="1"/>
          </xdr:nvSpPr>
          <xdr:spPr>
            <a:xfrm>
              <a:off x="8625170" y="808505"/>
              <a:ext cx="841559"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BIOFUELS</a:t>
              </a:r>
            </a:p>
          </xdr:txBody>
        </xdr:sp>
      </xdr:grpSp>
      <xdr:grpSp>
        <xdr:nvGrpSpPr>
          <xdr:cNvPr id="120" name="Group 119">
            <a:hlinkClick xmlns:r="http://schemas.openxmlformats.org/officeDocument/2006/relationships" r:id="rId27"/>
            <a:extLst>
              <a:ext uri="{FF2B5EF4-FFF2-40B4-BE49-F238E27FC236}">
                <a16:creationId xmlns:a16="http://schemas.microsoft.com/office/drawing/2014/main" id="{00000000-0008-0000-0D00-000078000000}"/>
              </a:ext>
            </a:extLst>
          </xdr:cNvPr>
          <xdr:cNvGrpSpPr/>
        </xdr:nvGrpSpPr>
        <xdr:grpSpPr>
          <a:xfrm>
            <a:off x="10773597" y="215530"/>
            <a:ext cx="1425389" cy="957239"/>
            <a:chOff x="10094261" y="244105"/>
            <a:chExt cx="1425389" cy="957239"/>
          </a:xfrm>
        </xdr:grpSpPr>
        <xdr:pic>
          <xdr:nvPicPr>
            <xdr:cNvPr id="125" name="Picture 124">
              <a:extLst>
                <a:ext uri="{FF2B5EF4-FFF2-40B4-BE49-F238E27FC236}">
                  <a16:creationId xmlns:a16="http://schemas.microsoft.com/office/drawing/2014/main" id="{00000000-0008-0000-0D00-00007D000000}"/>
                </a:ext>
                <a:ext uri="{147F2762-F138-4A5C-976F-8EAC2B608ADB}">
                  <a16:predDERef xmlns:a16="http://schemas.microsoft.com/office/drawing/2014/main" pred="{4BF98531-84AF-FD02-8989-724C2737A24A}"/>
                </a:ext>
              </a:extLst>
            </xdr:cNvPr>
            <xdr:cNvPicPr>
              <a:picLocks noChangeAspect="1"/>
            </xdr:cNvPicPr>
          </xdr:nvPicPr>
          <xdr:blipFill>
            <a:blip xmlns:r="http://schemas.openxmlformats.org/officeDocument/2006/relationships" r:embed="rId28"/>
            <a:stretch>
              <a:fillRect/>
            </a:stretch>
          </xdr:blipFill>
          <xdr:spPr>
            <a:xfrm>
              <a:off x="10548612" y="244105"/>
              <a:ext cx="458002" cy="608284"/>
            </a:xfrm>
            <a:prstGeom prst="rect">
              <a:avLst/>
            </a:prstGeom>
          </xdr:spPr>
        </xdr:pic>
        <xdr:sp macro="" textlink="">
          <xdr:nvSpPr>
            <xdr:cNvPr id="126" name="TextBox 125">
              <a:extLst>
                <a:ext uri="{FF2B5EF4-FFF2-40B4-BE49-F238E27FC236}">
                  <a16:creationId xmlns:a16="http://schemas.microsoft.com/office/drawing/2014/main" id="{00000000-0008-0000-0D00-00007E000000}"/>
                </a:ext>
              </a:extLst>
            </xdr:cNvPr>
            <xdr:cNvSpPr txBox="1"/>
          </xdr:nvSpPr>
          <xdr:spPr>
            <a:xfrm>
              <a:off x="10094261" y="797789"/>
              <a:ext cx="1425389" cy="403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LOWER</a:t>
              </a:r>
            </a:p>
            <a:p>
              <a:pPr algn="ctr"/>
              <a:r>
                <a:rPr lang="en-US" sz="1000" b="0" baseline="0">
                  <a:latin typeface="72 Black" panose="020B0A04030603020204" pitchFamily="34" charset="0"/>
                  <a:cs typeface="72 Black" panose="020B0A04030603020204" pitchFamily="34" charset="0"/>
                </a:rPr>
                <a:t> CARBON POWER</a:t>
              </a:r>
              <a:endParaRPr lang="en-US" sz="1000" b="0">
                <a:latin typeface="72 Black" panose="020B0A04030603020204" pitchFamily="34" charset="0"/>
                <a:cs typeface="72 Black" panose="020B0A04030603020204" pitchFamily="34" charset="0"/>
              </a:endParaRPr>
            </a:p>
          </xdr:txBody>
        </xdr:sp>
      </xdr:grpSp>
      <xdr:sp macro="" textlink="">
        <xdr:nvSpPr>
          <xdr:cNvPr id="121" name="Rectangle: Rounded Corners 120">
            <a:extLst>
              <a:ext uri="{FF2B5EF4-FFF2-40B4-BE49-F238E27FC236}">
                <a16:creationId xmlns:a16="http://schemas.microsoft.com/office/drawing/2014/main" id="{00000000-0008-0000-0D00-000079000000}"/>
              </a:ext>
            </a:extLst>
          </xdr:cNvPr>
          <xdr:cNvSpPr/>
        </xdr:nvSpPr>
        <xdr:spPr>
          <a:xfrm>
            <a:off x="4868141" y="64241"/>
            <a:ext cx="2230848" cy="1115483"/>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grpSp>
        <xdr:nvGrpSpPr>
          <xdr:cNvPr id="122" name="Group 121">
            <a:hlinkClick xmlns:r="http://schemas.openxmlformats.org/officeDocument/2006/relationships" r:id="rId29"/>
            <a:extLst>
              <a:ext uri="{FF2B5EF4-FFF2-40B4-BE49-F238E27FC236}">
                <a16:creationId xmlns:a16="http://schemas.microsoft.com/office/drawing/2014/main" id="{00000000-0008-0000-0D00-00007A000000}"/>
              </a:ext>
            </a:extLst>
          </xdr:cNvPr>
          <xdr:cNvGrpSpPr/>
        </xdr:nvGrpSpPr>
        <xdr:grpSpPr>
          <a:xfrm>
            <a:off x="1717819" y="429577"/>
            <a:ext cx="521114" cy="502920"/>
            <a:chOff x="1714500" y="434340"/>
            <a:chExt cx="521114" cy="502920"/>
          </a:xfrm>
        </xdr:grpSpPr>
        <xdr:pic>
          <xdr:nvPicPr>
            <xdr:cNvPr id="123" name="Picture 122">
              <a:extLst>
                <a:ext uri="{FF2B5EF4-FFF2-40B4-BE49-F238E27FC236}">
                  <a16:creationId xmlns:a16="http://schemas.microsoft.com/office/drawing/2014/main" id="{00000000-0008-0000-0D00-00007B000000}"/>
                </a:ext>
              </a:extLst>
            </xdr:cNvPr>
            <xdr:cNvPicPr>
              <a:picLocks noChangeAspect="1"/>
            </xdr:cNvPicPr>
          </xdr:nvPicPr>
          <xdr:blipFill>
            <a:blip xmlns:r="http://schemas.openxmlformats.org/officeDocument/2006/relationships" r:embed="rId30"/>
            <a:stretch>
              <a:fillRect/>
            </a:stretch>
          </xdr:blipFill>
          <xdr:spPr>
            <a:xfrm>
              <a:off x="1739946" y="434340"/>
              <a:ext cx="495668" cy="367536"/>
            </a:xfrm>
            <a:prstGeom prst="rect">
              <a:avLst/>
            </a:prstGeom>
          </xdr:spPr>
        </xdr:pic>
        <xdr:sp macro="" textlink="">
          <xdr:nvSpPr>
            <xdr:cNvPr id="124" name="TextBox 123">
              <a:extLst>
                <a:ext uri="{FF2B5EF4-FFF2-40B4-BE49-F238E27FC236}">
                  <a16:creationId xmlns:a16="http://schemas.microsoft.com/office/drawing/2014/main" id="{00000000-0008-0000-0D00-00007C000000}"/>
                </a:ext>
              </a:extLst>
            </xdr:cNvPr>
            <xdr:cNvSpPr txBox="1"/>
          </xdr:nvSpPr>
          <xdr:spPr>
            <a:xfrm>
              <a:off x="1714500" y="762000"/>
              <a:ext cx="510540" cy="175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latin typeface="72 Black" panose="020B0A04030603020204" pitchFamily="34" charset="0"/>
                  <a:cs typeface="72 Black" panose="020B0A04030603020204" pitchFamily="34" charset="0"/>
                </a:rPr>
                <a:t>FAQ</a:t>
              </a: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402137</xdr:colOff>
      <xdr:row>0</xdr:row>
      <xdr:rowOff>1190625</xdr:rowOff>
    </xdr:to>
    <xdr:grpSp>
      <xdr:nvGrpSpPr>
        <xdr:cNvPr id="101" name="Group 100">
          <a:extLst>
            <a:ext uri="{FF2B5EF4-FFF2-40B4-BE49-F238E27FC236}">
              <a16:creationId xmlns:a16="http://schemas.microsoft.com/office/drawing/2014/main" id="{00000000-0008-0000-0E00-000065000000}"/>
            </a:ext>
          </a:extLst>
        </xdr:cNvPr>
        <xdr:cNvGrpSpPr/>
      </xdr:nvGrpSpPr>
      <xdr:grpSpPr>
        <a:xfrm>
          <a:off x="0" y="0"/>
          <a:ext cx="11860712" cy="1190625"/>
          <a:chOff x="0" y="0"/>
          <a:chExt cx="12198986" cy="1190625"/>
        </a:xfrm>
      </xdr:grpSpPr>
      <xdr:sp macro="" textlink="">
        <xdr:nvSpPr>
          <xdr:cNvPr id="102" name="TextBox 101">
            <a:extLst>
              <a:ext uri="{FF2B5EF4-FFF2-40B4-BE49-F238E27FC236}">
                <a16:creationId xmlns:a16="http://schemas.microsoft.com/office/drawing/2014/main" id="{00000000-0008-0000-0E00-000066000000}"/>
              </a:ext>
            </a:extLst>
          </xdr:cNvPr>
          <xdr:cNvSpPr txBox="1"/>
        </xdr:nvSpPr>
        <xdr:spPr>
          <a:xfrm>
            <a:off x="849027" y="17369"/>
            <a:ext cx="871625" cy="330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ABOUT</a:t>
            </a:r>
          </a:p>
        </xdr:txBody>
      </xdr:sp>
      <xdr:sp macro="" textlink="">
        <xdr:nvSpPr>
          <xdr:cNvPr id="103" name="TextBox 102">
            <a:extLst>
              <a:ext uri="{FF2B5EF4-FFF2-40B4-BE49-F238E27FC236}">
                <a16:creationId xmlns:a16="http://schemas.microsoft.com/office/drawing/2014/main" id="{00000000-0008-0000-0E00-000067000000}"/>
              </a:ext>
            </a:extLst>
          </xdr:cNvPr>
          <xdr:cNvSpPr txBox="1"/>
        </xdr:nvSpPr>
        <xdr:spPr>
          <a:xfrm>
            <a:off x="4905072" y="0"/>
            <a:ext cx="1460728" cy="336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DASHBOARD</a:t>
            </a:r>
          </a:p>
        </xdr:txBody>
      </xdr:sp>
      <xdr:sp macro="" textlink="">
        <xdr:nvSpPr>
          <xdr:cNvPr id="104" name="TextBox 103">
            <a:extLst>
              <a:ext uri="{FF2B5EF4-FFF2-40B4-BE49-F238E27FC236}">
                <a16:creationId xmlns:a16="http://schemas.microsoft.com/office/drawing/2014/main" id="{00000000-0008-0000-0E00-000068000000}"/>
              </a:ext>
            </a:extLst>
          </xdr:cNvPr>
          <xdr:cNvSpPr txBox="1"/>
        </xdr:nvSpPr>
        <xdr:spPr>
          <a:xfrm>
            <a:off x="7295787" y="9525"/>
            <a:ext cx="1640043" cy="336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800" b="1" i="1"/>
              <a:t>CALCULATIONS</a:t>
            </a:r>
          </a:p>
        </xdr:txBody>
      </xdr:sp>
      <xdr:pic>
        <xdr:nvPicPr>
          <xdr:cNvPr id="105" name="Picture 104">
            <a:hlinkClick xmlns:r="http://schemas.openxmlformats.org/officeDocument/2006/relationships" r:id="rId1" tooltip="Education"/>
            <a:extLst>
              <a:ext uri="{FF2B5EF4-FFF2-40B4-BE49-F238E27FC236}">
                <a16:creationId xmlns:a16="http://schemas.microsoft.com/office/drawing/2014/main" id="{00000000-0008-0000-0E00-00006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1034" y="300037"/>
            <a:ext cx="781668" cy="762000"/>
          </a:xfrm>
          <a:prstGeom prst="rect">
            <a:avLst/>
          </a:prstGeom>
          <a:ln>
            <a:noFill/>
          </a:ln>
        </xdr:spPr>
      </xdr:pic>
      <xdr:pic>
        <xdr:nvPicPr>
          <xdr:cNvPr id="106" name="Picture 105">
            <a:hlinkClick xmlns:r="http://schemas.openxmlformats.org/officeDocument/2006/relationships" r:id="rId3" tooltip="Terms &amp; Conditions"/>
            <a:extLst>
              <a:ext uri="{FF2B5EF4-FFF2-40B4-BE49-F238E27FC236}">
                <a16:creationId xmlns:a16="http://schemas.microsoft.com/office/drawing/2014/main" id="{00000000-0008-0000-0E00-00006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75950" y="301561"/>
            <a:ext cx="779626" cy="758952"/>
          </a:xfrm>
          <a:prstGeom prst="rect">
            <a:avLst/>
          </a:prstGeom>
          <a:ln>
            <a:noFill/>
          </a:ln>
        </xdr:spPr>
      </xdr:pic>
      <xdr:pic>
        <xdr:nvPicPr>
          <xdr:cNvPr id="107" name="Picture 106">
            <a:hlinkClick xmlns:r="http://schemas.openxmlformats.org/officeDocument/2006/relationships" r:id="rId5" tooltip="User Guide"/>
            <a:extLst>
              <a:ext uri="{FF2B5EF4-FFF2-40B4-BE49-F238E27FC236}">
                <a16:creationId xmlns:a16="http://schemas.microsoft.com/office/drawing/2014/main" id="{00000000-0008-0000-0E00-00006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92593" y="301561"/>
            <a:ext cx="779626" cy="758952"/>
          </a:xfrm>
          <a:prstGeom prst="rect">
            <a:avLst/>
          </a:prstGeom>
        </xdr:spPr>
      </xdr:pic>
      <xdr:pic>
        <xdr:nvPicPr>
          <xdr:cNvPr id="108" name="Picture 107">
            <a:hlinkClick xmlns:r="http://schemas.openxmlformats.org/officeDocument/2006/relationships" r:id="rId7" tooltip="Dashboard"/>
            <a:extLst>
              <a:ext uri="{FF2B5EF4-FFF2-40B4-BE49-F238E27FC236}">
                <a16:creationId xmlns:a16="http://schemas.microsoft.com/office/drawing/2014/main" id="{00000000-0008-0000-0E00-00006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924641" y="314325"/>
            <a:ext cx="779626" cy="758952"/>
          </a:xfrm>
          <a:prstGeom prst="rect">
            <a:avLst/>
          </a:prstGeom>
        </xdr:spPr>
      </xdr:pic>
      <xdr:pic>
        <xdr:nvPicPr>
          <xdr:cNvPr id="109" name="Picture 108">
            <a:hlinkClick xmlns:r="http://schemas.openxmlformats.org/officeDocument/2006/relationships" r:id="rId9" tooltip="Factors"/>
            <a:extLst>
              <a:ext uri="{FF2B5EF4-FFF2-40B4-BE49-F238E27FC236}">
                <a16:creationId xmlns:a16="http://schemas.microsoft.com/office/drawing/2014/main" id="{00000000-0008-0000-0E00-00006D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323820" y="314325"/>
            <a:ext cx="779626" cy="758952"/>
          </a:xfrm>
          <a:prstGeom prst="rect">
            <a:avLst/>
          </a:prstGeom>
        </xdr:spPr>
      </xdr:pic>
      <xdr:pic>
        <xdr:nvPicPr>
          <xdr:cNvPr id="110" name="Picture 109">
            <a:hlinkClick xmlns:r="http://schemas.openxmlformats.org/officeDocument/2006/relationships" r:id="rId11" tooltip="Alternative Calculations"/>
            <a:extLst>
              <a:ext uri="{FF2B5EF4-FFF2-40B4-BE49-F238E27FC236}">
                <a16:creationId xmlns:a16="http://schemas.microsoft.com/office/drawing/2014/main" id="{00000000-0008-0000-0E00-00006E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678045" y="314325"/>
            <a:ext cx="779626" cy="758952"/>
          </a:xfrm>
          <a:prstGeom prst="rect">
            <a:avLst/>
          </a:prstGeom>
        </xdr:spPr>
      </xdr:pic>
      <xdr:pic>
        <xdr:nvPicPr>
          <xdr:cNvPr id="111" name="Picture 110">
            <a:hlinkClick xmlns:r="http://schemas.openxmlformats.org/officeDocument/2006/relationships" r:id="rId13" tooltip="Abbreviations"/>
            <a:extLst>
              <a:ext uri="{FF2B5EF4-FFF2-40B4-BE49-F238E27FC236}">
                <a16:creationId xmlns:a16="http://schemas.microsoft.com/office/drawing/2014/main" id="{00000000-0008-0000-0E00-00006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909237" y="301561"/>
            <a:ext cx="783981" cy="758952"/>
          </a:xfrm>
          <a:prstGeom prst="rect">
            <a:avLst/>
          </a:prstGeom>
        </xdr:spPr>
      </xdr:pic>
      <xdr:pic>
        <xdr:nvPicPr>
          <xdr:cNvPr id="112" name="Picture 111">
            <a:hlinkClick xmlns:r="http://schemas.openxmlformats.org/officeDocument/2006/relationships" r:id="rId15" tooltip="Oil and Refined Products"/>
            <a:extLst>
              <a:ext uri="{FF2B5EF4-FFF2-40B4-BE49-F238E27FC236}">
                <a16:creationId xmlns:a16="http://schemas.microsoft.com/office/drawing/2014/main" id="{00000000-0008-0000-0E00-000070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256651" y="304800"/>
            <a:ext cx="779626" cy="758952"/>
          </a:xfrm>
          <a:prstGeom prst="rect">
            <a:avLst/>
          </a:prstGeom>
        </xdr:spPr>
      </xdr:pic>
      <xdr:sp macro="" textlink="">
        <xdr:nvSpPr>
          <xdr:cNvPr id="113" name="Rectangle: Rounded Corners 112">
            <a:extLst>
              <a:ext uri="{FF2B5EF4-FFF2-40B4-BE49-F238E27FC236}">
                <a16:creationId xmlns:a16="http://schemas.microsoft.com/office/drawing/2014/main" id="{00000000-0008-0000-0E00-000071000000}"/>
              </a:ext>
            </a:extLst>
          </xdr:cNvPr>
          <xdr:cNvSpPr/>
        </xdr:nvSpPr>
        <xdr:spPr>
          <a:xfrm>
            <a:off x="831680" y="57150"/>
            <a:ext cx="3885100" cy="11334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sp macro="" textlink="">
        <xdr:nvSpPr>
          <xdr:cNvPr id="114" name="Rectangle: Rounded Corners 113">
            <a:extLst>
              <a:ext uri="{FF2B5EF4-FFF2-40B4-BE49-F238E27FC236}">
                <a16:creationId xmlns:a16="http://schemas.microsoft.com/office/drawing/2014/main" id="{00000000-0008-0000-0E00-000072000000}"/>
              </a:ext>
            </a:extLst>
          </xdr:cNvPr>
          <xdr:cNvSpPr/>
        </xdr:nvSpPr>
        <xdr:spPr>
          <a:xfrm>
            <a:off x="7237082" y="47625"/>
            <a:ext cx="4881220" cy="11334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pic>
        <xdr:nvPicPr>
          <xdr:cNvPr id="115" name="Picture 114">
            <a:hlinkClick xmlns:r="http://schemas.openxmlformats.org/officeDocument/2006/relationships" r:id="rId17" tooltip="Home"/>
            <a:extLst>
              <a:ext uri="{FF2B5EF4-FFF2-40B4-BE49-F238E27FC236}">
                <a16:creationId xmlns:a16="http://schemas.microsoft.com/office/drawing/2014/main" id="{00000000-0008-0000-0E00-000073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0" y="323850"/>
            <a:ext cx="779626" cy="758952"/>
          </a:xfrm>
          <a:prstGeom prst="rect">
            <a:avLst/>
          </a:prstGeom>
        </xdr:spPr>
      </xdr:pic>
      <xdr:grpSp>
        <xdr:nvGrpSpPr>
          <xdr:cNvPr id="116" name="Group 115">
            <a:extLst>
              <a:ext uri="{FF2B5EF4-FFF2-40B4-BE49-F238E27FC236}">
                <a16:creationId xmlns:a16="http://schemas.microsoft.com/office/drawing/2014/main" id="{00000000-0008-0000-0E00-000074000000}"/>
              </a:ext>
            </a:extLst>
          </xdr:cNvPr>
          <xdr:cNvGrpSpPr/>
        </xdr:nvGrpSpPr>
        <xdr:grpSpPr>
          <a:xfrm>
            <a:off x="8739731" y="304801"/>
            <a:ext cx="779626" cy="652742"/>
            <a:chOff x="8739731" y="304801"/>
            <a:chExt cx="779626" cy="652742"/>
          </a:xfrm>
        </xdr:grpSpPr>
        <xdr:pic>
          <xdr:nvPicPr>
            <xdr:cNvPr id="133" name="Picture 132">
              <a:hlinkClick xmlns:r="http://schemas.openxmlformats.org/officeDocument/2006/relationships" r:id="rId19" tooltip="Gas &amp; LNG"/>
              <a:extLst>
                <a:ext uri="{FF2B5EF4-FFF2-40B4-BE49-F238E27FC236}">
                  <a16:creationId xmlns:a16="http://schemas.microsoft.com/office/drawing/2014/main" id="{00000000-0008-0000-0E00-000085000000}"/>
                </a:ext>
              </a:extLst>
            </xdr:cNvPr>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b="32893"/>
            <a:stretch/>
          </xdr:blipFill>
          <xdr:spPr>
            <a:xfrm>
              <a:off x="8739731" y="304801"/>
              <a:ext cx="779626" cy="509306"/>
            </a:xfrm>
            <a:prstGeom prst="rect">
              <a:avLst/>
            </a:prstGeom>
          </xdr:spPr>
        </xdr:pic>
        <xdr:sp macro="" textlink="">
          <xdr:nvSpPr>
            <xdr:cNvPr id="134" name="TextBox 133">
              <a:extLst>
                <a:ext uri="{FF2B5EF4-FFF2-40B4-BE49-F238E27FC236}">
                  <a16:creationId xmlns:a16="http://schemas.microsoft.com/office/drawing/2014/main" id="{00000000-0008-0000-0E00-000086000000}"/>
                </a:ext>
              </a:extLst>
            </xdr:cNvPr>
            <xdr:cNvSpPr txBox="1"/>
          </xdr:nvSpPr>
          <xdr:spPr>
            <a:xfrm>
              <a:off x="8846184" y="769283"/>
              <a:ext cx="537883" cy="18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NGLs</a:t>
              </a:r>
            </a:p>
          </xdr:txBody>
        </xdr:sp>
      </xdr:grpSp>
      <xdr:grpSp>
        <xdr:nvGrpSpPr>
          <xdr:cNvPr id="117" name="Group 116">
            <a:hlinkClick xmlns:r="http://schemas.openxmlformats.org/officeDocument/2006/relationships" r:id="rId21"/>
            <a:extLst>
              <a:ext uri="{FF2B5EF4-FFF2-40B4-BE49-F238E27FC236}">
                <a16:creationId xmlns:a16="http://schemas.microsoft.com/office/drawing/2014/main" id="{00000000-0008-0000-0E00-000075000000}"/>
              </a:ext>
            </a:extLst>
          </xdr:cNvPr>
          <xdr:cNvGrpSpPr/>
        </xdr:nvGrpSpPr>
        <xdr:grpSpPr>
          <a:xfrm>
            <a:off x="7963288" y="399140"/>
            <a:ext cx="936684" cy="558403"/>
            <a:chOff x="7252446" y="427715"/>
            <a:chExt cx="932330" cy="558403"/>
          </a:xfrm>
        </xdr:grpSpPr>
        <xdr:pic>
          <xdr:nvPicPr>
            <xdr:cNvPr id="131" name="Picture 130">
              <a:extLst>
                <a:ext uri="{FF2B5EF4-FFF2-40B4-BE49-F238E27FC236}">
                  <a16:creationId xmlns:a16="http://schemas.microsoft.com/office/drawing/2014/main" id="{00000000-0008-0000-0E00-000083000000}"/>
                </a:ext>
                <a:ext uri="{147F2762-F138-4A5C-976F-8EAC2B608ADB}">
                  <a16:predDERef xmlns:a16="http://schemas.microsoft.com/office/drawing/2014/main" pred="{EF1B35E2-6469-5D85-6D58-31B6837836BF}"/>
                </a:ext>
              </a:extLst>
            </xdr:cNvPr>
            <xdr:cNvPicPr>
              <a:picLocks noChangeAspect="1"/>
            </xdr:cNvPicPr>
          </xdr:nvPicPr>
          <xdr:blipFill>
            <a:blip xmlns:r="http://schemas.openxmlformats.org/officeDocument/2006/relationships" r:embed="rId22"/>
            <a:stretch>
              <a:fillRect/>
            </a:stretch>
          </xdr:blipFill>
          <xdr:spPr>
            <a:xfrm>
              <a:off x="7404131" y="427715"/>
              <a:ext cx="582522" cy="453422"/>
            </a:xfrm>
            <a:prstGeom prst="rect">
              <a:avLst/>
            </a:prstGeom>
          </xdr:spPr>
        </xdr:pic>
        <xdr:sp macro="" textlink="">
          <xdr:nvSpPr>
            <xdr:cNvPr id="132" name="TextBox 131">
              <a:extLst>
                <a:ext uri="{FF2B5EF4-FFF2-40B4-BE49-F238E27FC236}">
                  <a16:creationId xmlns:a16="http://schemas.microsoft.com/office/drawing/2014/main" id="{00000000-0008-0000-0E00-000084000000}"/>
                </a:ext>
              </a:extLst>
            </xdr:cNvPr>
            <xdr:cNvSpPr txBox="1"/>
          </xdr:nvSpPr>
          <xdr:spPr>
            <a:xfrm>
              <a:off x="7252446" y="815785"/>
              <a:ext cx="932330" cy="17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b="0">
                  <a:latin typeface="72 Black" panose="020B0A04030603020204" pitchFamily="34" charset="0"/>
                  <a:cs typeface="72 Black" panose="020B0A04030603020204" pitchFamily="34" charset="0"/>
                </a:rPr>
                <a:t>GAS</a:t>
              </a:r>
              <a:r>
                <a:rPr lang="en-US" sz="900" b="0" baseline="0">
                  <a:latin typeface="72 Black" panose="020B0A04030603020204" pitchFamily="34" charset="0"/>
                  <a:cs typeface="72 Black" panose="020B0A04030603020204" pitchFamily="34" charset="0"/>
                </a:rPr>
                <a:t> &amp; LNG</a:t>
              </a:r>
              <a:endParaRPr lang="en-US" sz="900" b="0">
                <a:latin typeface="72 Black" panose="020B0A04030603020204" pitchFamily="34" charset="0"/>
                <a:cs typeface="72 Black" panose="020B0A04030603020204" pitchFamily="34" charset="0"/>
              </a:endParaRPr>
            </a:p>
          </xdr:txBody>
        </xdr:sp>
      </xdr:grpSp>
      <xdr:grpSp>
        <xdr:nvGrpSpPr>
          <xdr:cNvPr id="118" name="Group 117">
            <a:hlinkClick xmlns:r="http://schemas.openxmlformats.org/officeDocument/2006/relationships" r:id="rId23"/>
            <a:extLst>
              <a:ext uri="{FF2B5EF4-FFF2-40B4-BE49-F238E27FC236}">
                <a16:creationId xmlns:a16="http://schemas.microsoft.com/office/drawing/2014/main" id="{00000000-0008-0000-0E00-000076000000}"/>
              </a:ext>
            </a:extLst>
          </xdr:cNvPr>
          <xdr:cNvGrpSpPr/>
        </xdr:nvGrpSpPr>
        <xdr:grpSpPr>
          <a:xfrm>
            <a:off x="10117854" y="449143"/>
            <a:ext cx="952892" cy="517367"/>
            <a:chOff x="9402658" y="477718"/>
            <a:chExt cx="952892" cy="517367"/>
          </a:xfrm>
        </xdr:grpSpPr>
        <xdr:pic>
          <xdr:nvPicPr>
            <xdr:cNvPr id="129" name="Picture 128">
              <a:extLst>
                <a:ext uri="{FF2B5EF4-FFF2-40B4-BE49-F238E27FC236}">
                  <a16:creationId xmlns:a16="http://schemas.microsoft.com/office/drawing/2014/main" id="{00000000-0008-0000-0E00-000081000000}"/>
                </a:ext>
              </a:extLst>
            </xdr:cNvPr>
            <xdr:cNvPicPr>
              <a:picLocks noChangeAspect="1"/>
            </xdr:cNvPicPr>
          </xdr:nvPicPr>
          <xdr:blipFill>
            <a:blip xmlns:r="http://schemas.openxmlformats.org/officeDocument/2006/relationships" r:embed="rId24"/>
            <a:stretch>
              <a:fillRect/>
            </a:stretch>
          </xdr:blipFill>
          <xdr:spPr>
            <a:xfrm>
              <a:off x="9525454" y="477718"/>
              <a:ext cx="679846" cy="340639"/>
            </a:xfrm>
            <a:prstGeom prst="rect">
              <a:avLst/>
            </a:prstGeom>
          </xdr:spPr>
        </xdr:pic>
        <xdr:sp macro="" textlink="">
          <xdr:nvSpPr>
            <xdr:cNvPr id="130" name="TextBox 129">
              <a:extLst>
                <a:ext uri="{FF2B5EF4-FFF2-40B4-BE49-F238E27FC236}">
                  <a16:creationId xmlns:a16="http://schemas.microsoft.com/office/drawing/2014/main" id="{00000000-0008-0000-0E00-000082000000}"/>
                </a:ext>
              </a:extLst>
            </xdr:cNvPr>
            <xdr:cNvSpPr txBox="1"/>
          </xdr:nvSpPr>
          <xdr:spPr>
            <a:xfrm>
              <a:off x="9402658" y="806825"/>
              <a:ext cx="952892" cy="18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HYDROGEN</a:t>
              </a:r>
            </a:p>
          </xdr:txBody>
        </xdr:sp>
      </xdr:grpSp>
      <xdr:grpSp>
        <xdr:nvGrpSpPr>
          <xdr:cNvPr id="119" name="Group 118">
            <a:hlinkClick xmlns:r="http://schemas.openxmlformats.org/officeDocument/2006/relationships" r:id="rId25"/>
            <a:extLst>
              <a:ext uri="{FF2B5EF4-FFF2-40B4-BE49-F238E27FC236}">
                <a16:creationId xmlns:a16="http://schemas.microsoft.com/office/drawing/2014/main" id="{00000000-0008-0000-0E00-000077000000}"/>
              </a:ext>
            </a:extLst>
          </xdr:cNvPr>
          <xdr:cNvGrpSpPr/>
        </xdr:nvGrpSpPr>
        <xdr:grpSpPr>
          <a:xfrm>
            <a:off x="9340366" y="249331"/>
            <a:ext cx="841559" cy="690282"/>
            <a:chOff x="8625170" y="277906"/>
            <a:chExt cx="841559" cy="690282"/>
          </a:xfrm>
        </xdr:grpSpPr>
        <xdr:pic>
          <xdr:nvPicPr>
            <xdr:cNvPr id="127" name="Picture 126">
              <a:extLst>
                <a:ext uri="{FF2B5EF4-FFF2-40B4-BE49-F238E27FC236}">
                  <a16:creationId xmlns:a16="http://schemas.microsoft.com/office/drawing/2014/main" id="{00000000-0008-0000-0E00-00007F000000}"/>
                </a:ext>
                <a:ext uri="{147F2762-F138-4A5C-976F-8EAC2B608ADB}">
                  <a16:predDERef xmlns:a16="http://schemas.microsoft.com/office/drawing/2014/main" pred="{C3724981-7622-998F-1DE2-D8A1EDB791C5}"/>
                </a:ext>
              </a:extLst>
            </xdr:cNvPr>
            <xdr:cNvPicPr>
              <a:picLocks noChangeAspect="1"/>
            </xdr:cNvPicPr>
          </xdr:nvPicPr>
          <xdr:blipFill>
            <a:blip xmlns:r="http://schemas.openxmlformats.org/officeDocument/2006/relationships" r:embed="rId26"/>
            <a:stretch>
              <a:fillRect/>
            </a:stretch>
          </xdr:blipFill>
          <xdr:spPr>
            <a:xfrm>
              <a:off x="8686800" y="277906"/>
              <a:ext cx="685800" cy="577215"/>
            </a:xfrm>
            <a:prstGeom prst="rect">
              <a:avLst/>
            </a:prstGeom>
          </xdr:spPr>
        </xdr:pic>
        <xdr:sp macro="" textlink="">
          <xdr:nvSpPr>
            <xdr:cNvPr id="128" name="TextBox 127">
              <a:extLst>
                <a:ext uri="{FF2B5EF4-FFF2-40B4-BE49-F238E27FC236}">
                  <a16:creationId xmlns:a16="http://schemas.microsoft.com/office/drawing/2014/main" id="{00000000-0008-0000-0E00-000080000000}"/>
                </a:ext>
              </a:extLst>
            </xdr:cNvPr>
            <xdr:cNvSpPr txBox="1"/>
          </xdr:nvSpPr>
          <xdr:spPr>
            <a:xfrm>
              <a:off x="8625170" y="808505"/>
              <a:ext cx="841559"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BIOFUELS</a:t>
              </a:r>
            </a:p>
          </xdr:txBody>
        </xdr:sp>
      </xdr:grpSp>
      <xdr:grpSp>
        <xdr:nvGrpSpPr>
          <xdr:cNvPr id="120" name="Group 119">
            <a:hlinkClick xmlns:r="http://schemas.openxmlformats.org/officeDocument/2006/relationships" r:id="rId27"/>
            <a:extLst>
              <a:ext uri="{FF2B5EF4-FFF2-40B4-BE49-F238E27FC236}">
                <a16:creationId xmlns:a16="http://schemas.microsoft.com/office/drawing/2014/main" id="{00000000-0008-0000-0E00-000078000000}"/>
              </a:ext>
            </a:extLst>
          </xdr:cNvPr>
          <xdr:cNvGrpSpPr/>
        </xdr:nvGrpSpPr>
        <xdr:grpSpPr>
          <a:xfrm>
            <a:off x="10773597" y="215530"/>
            <a:ext cx="1425389" cy="957239"/>
            <a:chOff x="10094261" y="244105"/>
            <a:chExt cx="1425389" cy="957239"/>
          </a:xfrm>
        </xdr:grpSpPr>
        <xdr:pic>
          <xdr:nvPicPr>
            <xdr:cNvPr id="125" name="Picture 124">
              <a:extLst>
                <a:ext uri="{FF2B5EF4-FFF2-40B4-BE49-F238E27FC236}">
                  <a16:creationId xmlns:a16="http://schemas.microsoft.com/office/drawing/2014/main" id="{00000000-0008-0000-0E00-00007D000000}"/>
                </a:ext>
                <a:ext uri="{147F2762-F138-4A5C-976F-8EAC2B608ADB}">
                  <a16:predDERef xmlns:a16="http://schemas.microsoft.com/office/drawing/2014/main" pred="{4BF98531-84AF-FD02-8989-724C2737A24A}"/>
                </a:ext>
              </a:extLst>
            </xdr:cNvPr>
            <xdr:cNvPicPr>
              <a:picLocks noChangeAspect="1"/>
            </xdr:cNvPicPr>
          </xdr:nvPicPr>
          <xdr:blipFill>
            <a:blip xmlns:r="http://schemas.openxmlformats.org/officeDocument/2006/relationships" r:embed="rId28"/>
            <a:stretch>
              <a:fillRect/>
            </a:stretch>
          </xdr:blipFill>
          <xdr:spPr>
            <a:xfrm>
              <a:off x="10548612" y="244105"/>
              <a:ext cx="458002" cy="608284"/>
            </a:xfrm>
            <a:prstGeom prst="rect">
              <a:avLst/>
            </a:prstGeom>
          </xdr:spPr>
        </xdr:pic>
        <xdr:sp macro="" textlink="">
          <xdr:nvSpPr>
            <xdr:cNvPr id="126" name="TextBox 125">
              <a:extLst>
                <a:ext uri="{FF2B5EF4-FFF2-40B4-BE49-F238E27FC236}">
                  <a16:creationId xmlns:a16="http://schemas.microsoft.com/office/drawing/2014/main" id="{00000000-0008-0000-0E00-00007E000000}"/>
                </a:ext>
              </a:extLst>
            </xdr:cNvPr>
            <xdr:cNvSpPr txBox="1"/>
          </xdr:nvSpPr>
          <xdr:spPr>
            <a:xfrm>
              <a:off x="10094261" y="797789"/>
              <a:ext cx="1425389" cy="403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72 Black" panose="020B0A04030603020204" pitchFamily="34" charset="0"/>
                  <a:cs typeface="72 Black" panose="020B0A04030603020204" pitchFamily="34" charset="0"/>
                </a:rPr>
                <a:t>LOWER</a:t>
              </a:r>
            </a:p>
            <a:p>
              <a:pPr algn="ctr"/>
              <a:r>
                <a:rPr lang="en-US" sz="1000" b="0" baseline="0">
                  <a:latin typeface="72 Black" panose="020B0A04030603020204" pitchFamily="34" charset="0"/>
                  <a:cs typeface="72 Black" panose="020B0A04030603020204" pitchFamily="34" charset="0"/>
                </a:rPr>
                <a:t> CARBON POWER</a:t>
              </a:r>
              <a:endParaRPr lang="en-US" sz="1000" b="0">
                <a:latin typeface="72 Black" panose="020B0A04030603020204" pitchFamily="34" charset="0"/>
                <a:cs typeface="72 Black" panose="020B0A04030603020204" pitchFamily="34" charset="0"/>
              </a:endParaRPr>
            </a:p>
          </xdr:txBody>
        </xdr:sp>
      </xdr:grpSp>
      <xdr:sp macro="" textlink="">
        <xdr:nvSpPr>
          <xdr:cNvPr id="121" name="Rectangle: Rounded Corners 120">
            <a:extLst>
              <a:ext uri="{FF2B5EF4-FFF2-40B4-BE49-F238E27FC236}">
                <a16:creationId xmlns:a16="http://schemas.microsoft.com/office/drawing/2014/main" id="{00000000-0008-0000-0E00-000079000000}"/>
              </a:ext>
            </a:extLst>
          </xdr:cNvPr>
          <xdr:cNvSpPr/>
        </xdr:nvSpPr>
        <xdr:spPr>
          <a:xfrm>
            <a:off x="4868141" y="64241"/>
            <a:ext cx="2230848" cy="1115483"/>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grpSp>
        <xdr:nvGrpSpPr>
          <xdr:cNvPr id="122" name="Group 121">
            <a:hlinkClick xmlns:r="http://schemas.openxmlformats.org/officeDocument/2006/relationships" r:id="rId29"/>
            <a:extLst>
              <a:ext uri="{FF2B5EF4-FFF2-40B4-BE49-F238E27FC236}">
                <a16:creationId xmlns:a16="http://schemas.microsoft.com/office/drawing/2014/main" id="{00000000-0008-0000-0E00-00007A000000}"/>
              </a:ext>
            </a:extLst>
          </xdr:cNvPr>
          <xdr:cNvGrpSpPr/>
        </xdr:nvGrpSpPr>
        <xdr:grpSpPr>
          <a:xfrm>
            <a:off x="1717819" y="434462"/>
            <a:ext cx="521114" cy="498035"/>
            <a:chOff x="1714500" y="439225"/>
            <a:chExt cx="521114" cy="498035"/>
          </a:xfrm>
        </xdr:grpSpPr>
        <xdr:pic>
          <xdr:nvPicPr>
            <xdr:cNvPr id="123" name="Picture 122">
              <a:extLst>
                <a:ext uri="{FF2B5EF4-FFF2-40B4-BE49-F238E27FC236}">
                  <a16:creationId xmlns:a16="http://schemas.microsoft.com/office/drawing/2014/main" id="{00000000-0008-0000-0E00-00007B000000}"/>
                </a:ext>
              </a:extLst>
            </xdr:cNvPr>
            <xdr:cNvPicPr>
              <a:picLocks noChangeAspect="1"/>
            </xdr:cNvPicPr>
          </xdr:nvPicPr>
          <xdr:blipFill>
            <a:blip xmlns:r="http://schemas.openxmlformats.org/officeDocument/2006/relationships" r:embed="rId30"/>
            <a:stretch>
              <a:fillRect/>
            </a:stretch>
          </xdr:blipFill>
          <xdr:spPr>
            <a:xfrm>
              <a:off x="1739946" y="439225"/>
              <a:ext cx="495668" cy="367536"/>
            </a:xfrm>
            <a:prstGeom prst="rect">
              <a:avLst/>
            </a:prstGeom>
          </xdr:spPr>
        </xdr:pic>
        <xdr:sp macro="" textlink="">
          <xdr:nvSpPr>
            <xdr:cNvPr id="124" name="TextBox 123">
              <a:extLst>
                <a:ext uri="{FF2B5EF4-FFF2-40B4-BE49-F238E27FC236}">
                  <a16:creationId xmlns:a16="http://schemas.microsoft.com/office/drawing/2014/main" id="{00000000-0008-0000-0E00-00007C000000}"/>
                </a:ext>
              </a:extLst>
            </xdr:cNvPr>
            <xdr:cNvSpPr txBox="1"/>
          </xdr:nvSpPr>
          <xdr:spPr>
            <a:xfrm>
              <a:off x="1714500" y="762000"/>
              <a:ext cx="510540" cy="175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latin typeface="72 Black" panose="020B0A04030603020204" pitchFamily="34" charset="0"/>
                  <a:cs typeface="72 Black" panose="020B0A04030603020204" pitchFamily="34" charset="0"/>
                </a:rPr>
                <a:t>FAQ</a:t>
              </a:r>
            </a:p>
          </xdr:txBody>
        </xdr:sp>
      </xdr:grp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chevron.co/GHG_assuranc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eia.gov/energyexplained/oil-and-petroleum-products/refining-crude-oil-inputs-and-outputs.php" TargetMode="External"/><Relationship Id="rId13" Type="http://schemas.openxmlformats.org/officeDocument/2006/relationships/comments" Target="../comments2.xml"/><Relationship Id="rId3" Type="http://schemas.openxmlformats.org/officeDocument/2006/relationships/hyperlink" Target="https://hydrogencouncil.com/wp-content/uploads/2021/01/Hydrogen-Council-Report_Decarbonization-Pathways_Part-1-Lifecycle-Assessment.pdf" TargetMode="External"/><Relationship Id="rId7" Type="http://schemas.openxmlformats.org/officeDocument/2006/relationships/hyperlink" Target="https://www.nrel.gov/docs/fy21osti/80580.pdf" TargetMode="External"/><Relationship Id="rId12" Type="http://schemas.openxmlformats.org/officeDocument/2006/relationships/ctrlProp" Target="../ctrlProps/ctrlProp5.xml"/><Relationship Id="rId2" Type="http://schemas.openxmlformats.org/officeDocument/2006/relationships/hyperlink" Target="https://hydrogencouncil.com/wp-content/uploads/2021/01/Hydrogen-Council-Report_Decarbonization-Pathways_Part-1-Lifecycle-Assessment.pdf" TargetMode="External"/><Relationship Id="rId1" Type="http://schemas.openxmlformats.org/officeDocument/2006/relationships/hyperlink" Target="https://www.eia.gov/energyexplained/units-and-calculators/energy-conversion-calculators.php" TargetMode="External"/><Relationship Id="rId6" Type="http://schemas.openxmlformats.org/officeDocument/2006/relationships/hyperlink" Target="https://www.nrel.gov/docs/fy21osti/80580.pdf" TargetMode="External"/><Relationship Id="rId11" Type="http://schemas.openxmlformats.org/officeDocument/2006/relationships/vmlDrawing" Target="../drawings/vmlDrawing3.vml"/><Relationship Id="rId5" Type="http://schemas.openxmlformats.org/officeDocument/2006/relationships/hyperlink" Target="https://www.nrel.gov/docs/fy21osti/80580.pdf" TargetMode="External"/><Relationship Id="rId10" Type="http://schemas.openxmlformats.org/officeDocument/2006/relationships/drawing" Target="../drawings/drawing8.xml"/><Relationship Id="rId4" Type="http://schemas.openxmlformats.org/officeDocument/2006/relationships/hyperlink" Target="https://hydrogencouncil.com/wp-content/uploads/2021/01/Hydrogen-Council-Report_Decarbonization-Pathways_Part-1-Lifecycle-Assessment.pdf"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omments" Target="../comments3.xml"/><Relationship Id="rId4"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6495B-7D47-4C24-B143-EE00F80D8B1C}">
  <sheetPr codeName="Sheet1">
    <tabColor theme="1"/>
    <pageSetUpPr autoPageBreaks="0"/>
  </sheetPr>
  <dimension ref="A1:AD68"/>
  <sheetViews>
    <sheetView showGridLines="0" tabSelected="1" zoomScaleNormal="100" workbookViewId="0">
      <pane ySplit="1" topLeftCell="A2" activePane="bottomLeft" state="frozen"/>
      <selection activeCell="B16" sqref="B16"/>
      <selection pane="bottomLeft" activeCell="B20" sqref="B20:D20"/>
    </sheetView>
  </sheetViews>
  <sheetFormatPr defaultColWidth="0" defaultRowHeight="0" customHeight="1" zeroHeight="1" x14ac:dyDescent="0.2"/>
  <cols>
    <col min="1" max="1" width="13" style="82" customWidth="1"/>
    <col min="2" max="3" width="52.42578125" style="82" customWidth="1"/>
    <col min="4" max="4" width="48.5703125" style="82" customWidth="1"/>
    <col min="5" max="5" width="12.42578125" style="82" customWidth="1"/>
    <col min="6" max="6" width="130.140625" style="82" hidden="1" customWidth="1"/>
    <col min="7" max="29" width="10" style="82" hidden="1" customWidth="1"/>
    <col min="30" max="30" width="0" style="82" hidden="1" customWidth="1"/>
    <col min="31" max="16384" width="9.140625" style="82" hidden="1"/>
  </cols>
  <sheetData>
    <row r="1" spans="2:30" ht="99.75" customHeight="1" x14ac:dyDescent="0.2">
      <c r="B1" s="328"/>
      <c r="C1" s="328"/>
      <c r="D1" s="328"/>
      <c r="E1" s="168" t="s">
        <v>495</v>
      </c>
      <c r="G1" s="329"/>
    </row>
    <row r="2" spans="2:30" ht="13.5" customHeight="1" x14ac:dyDescent="0.2">
      <c r="F2" s="330"/>
    </row>
    <row r="3" spans="2:30" ht="13.5" customHeight="1" x14ac:dyDescent="0.25">
      <c r="O3" s="331"/>
      <c r="P3" s="332"/>
      <c r="Q3" s="331"/>
      <c r="R3" s="332"/>
      <c r="S3" s="331"/>
      <c r="T3" s="332"/>
      <c r="U3" s="331"/>
      <c r="V3" s="331"/>
      <c r="W3" s="331"/>
      <c r="X3" s="331"/>
      <c r="Y3" s="331"/>
      <c r="Z3" s="331"/>
      <c r="AA3" s="331"/>
      <c r="AB3" s="331"/>
    </row>
    <row r="4" spans="2:30" ht="13.5" customHeight="1" x14ac:dyDescent="0.2"/>
    <row r="5" spans="2:30" s="333" customFormat="1" ht="13.5" customHeight="1" x14ac:dyDescent="0.3">
      <c r="G5" s="334"/>
      <c r="H5" s="82"/>
      <c r="I5" s="335"/>
      <c r="J5" s="335"/>
      <c r="K5" s="335"/>
      <c r="L5" s="335"/>
      <c r="M5" s="335"/>
      <c r="N5" s="335"/>
      <c r="O5" s="335"/>
      <c r="P5" s="335"/>
      <c r="Q5" s="335"/>
      <c r="R5" s="335"/>
      <c r="S5" s="335"/>
      <c r="T5" s="335"/>
      <c r="U5" s="335"/>
      <c r="V5" s="336"/>
      <c r="W5" s="336"/>
      <c r="X5" s="336"/>
      <c r="Y5" s="336"/>
      <c r="Z5" s="336"/>
      <c r="AA5" s="336"/>
      <c r="AB5" s="336"/>
      <c r="AD5" s="333" t="s">
        <v>0</v>
      </c>
    </row>
    <row r="6" spans="2:30" ht="13.5" customHeight="1" x14ac:dyDescent="0.2">
      <c r="G6" s="337"/>
      <c r="H6" s="337"/>
      <c r="I6" s="337"/>
      <c r="J6" s="337"/>
      <c r="K6" s="337"/>
      <c r="L6" s="337"/>
      <c r="M6" s="337"/>
      <c r="N6" s="337"/>
      <c r="O6" s="337"/>
      <c r="P6" s="337"/>
      <c r="Q6" s="337"/>
      <c r="R6" s="337"/>
      <c r="S6" s="337"/>
      <c r="AD6" s="333" t="s">
        <v>1</v>
      </c>
    </row>
    <row r="7" spans="2:30" ht="13.5" customHeight="1" x14ac:dyDescent="0.3">
      <c r="G7" s="120"/>
      <c r="H7" s="120"/>
      <c r="I7" s="120"/>
      <c r="J7" s="120"/>
      <c r="K7" s="120"/>
      <c r="L7" s="120"/>
      <c r="M7" s="120"/>
      <c r="N7" s="120"/>
      <c r="O7" s="120"/>
      <c r="P7" s="120"/>
      <c r="Q7" s="120"/>
      <c r="R7" s="120"/>
      <c r="S7" s="120"/>
      <c r="T7" s="335"/>
      <c r="U7" s="335"/>
      <c r="V7" s="336"/>
      <c r="W7" s="336"/>
      <c r="X7" s="336"/>
      <c r="Y7" s="336"/>
      <c r="Z7" s="336"/>
      <c r="AA7" s="336"/>
      <c r="AB7" s="336"/>
      <c r="AC7" s="333"/>
    </row>
    <row r="8" spans="2:30" ht="13.5" customHeight="1" x14ac:dyDescent="0.3">
      <c r="G8" s="335"/>
      <c r="H8" s="335"/>
      <c r="I8" s="335"/>
      <c r="J8" s="335"/>
      <c r="K8" s="335"/>
      <c r="L8" s="335"/>
      <c r="M8" s="335"/>
      <c r="N8" s="335"/>
      <c r="O8" s="335"/>
      <c r="P8" s="335"/>
      <c r="Q8" s="335"/>
      <c r="R8" s="335"/>
      <c r="S8" s="335"/>
      <c r="AD8" s="82" t="s">
        <v>2</v>
      </c>
    </row>
    <row r="9" spans="2:30" ht="13.5" customHeight="1" x14ac:dyDescent="0.35">
      <c r="G9" s="338"/>
      <c r="H9" s="338"/>
      <c r="I9" s="338"/>
      <c r="J9" s="120"/>
      <c r="K9" s="338"/>
      <c r="L9" s="338"/>
      <c r="M9" s="338"/>
      <c r="N9" s="338"/>
      <c r="O9" s="338"/>
      <c r="P9" s="338"/>
      <c r="Q9" s="338"/>
      <c r="R9" s="338"/>
      <c r="S9" s="338"/>
      <c r="T9" s="335"/>
      <c r="U9" s="335"/>
      <c r="V9" s="336"/>
      <c r="W9" s="336"/>
      <c r="X9" s="336"/>
      <c r="Y9" s="336"/>
      <c r="Z9" s="336"/>
      <c r="AA9" s="336"/>
      <c r="AB9" s="336"/>
      <c r="AC9" s="333"/>
    </row>
    <row r="10" spans="2:30" ht="13.5" customHeight="1" x14ac:dyDescent="0.35">
      <c r="G10" s="338"/>
      <c r="H10" s="338"/>
      <c r="I10" s="338"/>
      <c r="J10" s="338"/>
      <c r="K10" s="338"/>
      <c r="L10" s="338"/>
      <c r="M10" s="338"/>
      <c r="N10" s="338"/>
      <c r="P10" s="338"/>
      <c r="Q10" s="338"/>
      <c r="R10" s="338"/>
      <c r="S10" s="338"/>
    </row>
    <row r="11" spans="2:30" ht="13.5" customHeight="1" x14ac:dyDescent="0.35">
      <c r="G11" s="339"/>
      <c r="H11" s="339"/>
      <c r="I11" s="339"/>
      <c r="J11" s="339"/>
      <c r="K11" s="339"/>
      <c r="L11" s="338"/>
      <c r="M11" s="338"/>
      <c r="O11" s="338"/>
      <c r="P11" s="338"/>
      <c r="Q11" s="338"/>
      <c r="R11" s="338"/>
      <c r="S11" s="338"/>
      <c r="T11" s="335"/>
      <c r="U11" s="335"/>
      <c r="V11" s="336"/>
      <c r="W11" s="336"/>
      <c r="X11" s="336"/>
      <c r="Y11" s="336"/>
      <c r="Z11" s="336"/>
      <c r="AA11" s="336"/>
      <c r="AB11" s="336"/>
      <c r="AC11" s="333"/>
    </row>
    <row r="12" spans="2:30" ht="13.5" customHeight="1" x14ac:dyDescent="0.2">
      <c r="G12" s="120"/>
      <c r="H12" s="120"/>
      <c r="I12" s="120"/>
      <c r="J12" s="120"/>
      <c r="K12" s="120"/>
      <c r="L12" s="120"/>
      <c r="M12" s="120"/>
      <c r="N12" s="120"/>
      <c r="O12" s="120"/>
      <c r="P12" s="120"/>
      <c r="Q12" s="120"/>
      <c r="R12" s="120"/>
      <c r="S12" s="120"/>
    </row>
    <row r="13" spans="2:30" s="333" customFormat="1" ht="13.5" customHeight="1" x14ac:dyDescent="0.3">
      <c r="G13" s="105"/>
      <c r="H13" s="105"/>
      <c r="I13" s="105"/>
      <c r="J13" s="105"/>
      <c r="K13" s="105"/>
      <c r="L13" s="105"/>
      <c r="M13" s="105"/>
      <c r="N13" s="105"/>
      <c r="O13" s="105"/>
      <c r="P13" s="105"/>
      <c r="Q13" s="105"/>
      <c r="R13" s="105"/>
      <c r="S13" s="105"/>
      <c r="T13" s="335"/>
      <c r="U13" s="335"/>
      <c r="V13" s="336"/>
      <c r="W13" s="336"/>
      <c r="X13" s="336"/>
      <c r="Y13" s="336"/>
      <c r="Z13" s="336"/>
      <c r="AA13" s="336"/>
      <c r="AB13" s="336"/>
    </row>
    <row r="14" spans="2:30" ht="13.5" customHeight="1" x14ac:dyDescent="0.2">
      <c r="G14" s="337"/>
      <c r="H14" s="337"/>
      <c r="I14" s="337"/>
      <c r="J14" s="337"/>
      <c r="K14" s="337"/>
      <c r="L14" s="337"/>
      <c r="M14" s="337"/>
      <c r="N14" s="337"/>
      <c r="O14" s="337"/>
      <c r="P14" s="337"/>
      <c r="Q14" s="337"/>
      <c r="R14" s="337"/>
      <c r="S14" s="337"/>
    </row>
    <row r="15" spans="2:30" ht="13.5" customHeight="1" x14ac:dyDescent="0.3">
      <c r="G15" s="340"/>
      <c r="H15" s="340"/>
      <c r="I15" s="340"/>
      <c r="J15" s="340"/>
      <c r="K15" s="340"/>
      <c r="L15" s="340"/>
      <c r="M15" s="340"/>
      <c r="N15" s="340"/>
      <c r="O15" s="340"/>
      <c r="P15" s="340"/>
      <c r="Q15" s="340"/>
      <c r="R15" s="340"/>
      <c r="S15" s="340"/>
      <c r="T15" s="335"/>
      <c r="U15" s="335"/>
      <c r="V15" s="336"/>
      <c r="W15" s="336"/>
      <c r="X15" s="336"/>
      <c r="Y15" s="336"/>
      <c r="Z15" s="336"/>
      <c r="AA15" s="336"/>
      <c r="AB15" s="336"/>
      <c r="AC15" s="333"/>
    </row>
    <row r="16" spans="2:30" s="333" customFormat="1" ht="13.5" customHeight="1" x14ac:dyDescent="0.2">
      <c r="G16" s="105"/>
      <c r="H16" s="105"/>
      <c r="I16" s="105"/>
      <c r="J16" s="105"/>
      <c r="K16" s="105"/>
      <c r="L16" s="105"/>
      <c r="M16" s="105"/>
      <c r="N16" s="105"/>
      <c r="O16" s="105"/>
      <c r="P16" s="105"/>
      <c r="Q16" s="105"/>
      <c r="R16" s="105"/>
      <c r="S16" s="105"/>
      <c r="T16" s="82"/>
      <c r="U16" s="82"/>
      <c r="V16" s="82"/>
      <c r="W16" s="82"/>
      <c r="X16" s="82"/>
      <c r="Y16" s="82"/>
      <c r="Z16" s="82"/>
      <c r="AA16" s="82"/>
      <c r="AB16" s="82"/>
      <c r="AC16" s="82"/>
    </row>
    <row r="17" spans="2:29" ht="13.5" customHeight="1" x14ac:dyDescent="0.3">
      <c r="G17" s="337"/>
      <c r="H17" s="337"/>
      <c r="I17" s="337"/>
      <c r="J17" s="337"/>
      <c r="K17" s="337"/>
      <c r="L17" s="337"/>
      <c r="M17" s="337"/>
      <c r="N17" s="337"/>
      <c r="O17" s="337"/>
      <c r="P17" s="337"/>
      <c r="Q17" s="337"/>
      <c r="R17" s="337"/>
      <c r="S17" s="337"/>
      <c r="T17" s="335"/>
      <c r="U17" s="335"/>
      <c r="V17" s="336"/>
      <c r="W17" s="336"/>
      <c r="X17" s="336"/>
      <c r="Y17" s="336"/>
      <c r="Z17" s="336"/>
      <c r="AA17" s="336"/>
      <c r="AB17" s="336"/>
      <c r="AC17" s="333"/>
    </row>
    <row r="18" spans="2:29" ht="13.5" customHeight="1" x14ac:dyDescent="0.2">
      <c r="G18" s="340"/>
      <c r="H18" s="340"/>
      <c r="I18" s="340"/>
      <c r="J18" s="340"/>
      <c r="K18" s="340"/>
      <c r="L18" s="340"/>
      <c r="M18" s="340"/>
      <c r="N18" s="340"/>
      <c r="O18" s="340"/>
      <c r="P18" s="340"/>
      <c r="Q18" s="340"/>
      <c r="R18" s="340"/>
      <c r="S18" s="340"/>
    </row>
    <row r="19" spans="2:29" s="333" customFormat="1" ht="13.5" customHeight="1" x14ac:dyDescent="0.3">
      <c r="G19" s="105"/>
      <c r="H19" s="105"/>
      <c r="I19" s="105"/>
      <c r="J19" s="105"/>
      <c r="K19" s="105"/>
      <c r="L19" s="105"/>
      <c r="M19" s="105"/>
      <c r="N19" s="105"/>
      <c r="O19" s="105"/>
      <c r="P19" s="105"/>
      <c r="Q19" s="105"/>
      <c r="R19" s="105"/>
      <c r="S19" s="105"/>
      <c r="T19" s="335"/>
      <c r="U19" s="335"/>
      <c r="V19" s="336"/>
      <c r="W19" s="336"/>
      <c r="X19" s="336"/>
      <c r="Y19" s="336"/>
      <c r="Z19" s="336"/>
      <c r="AA19" s="336"/>
      <c r="AB19" s="336"/>
    </row>
    <row r="20" spans="2:29" ht="173.25" customHeight="1" x14ac:dyDescent="0.2">
      <c r="B20" s="352" t="s">
        <v>494</v>
      </c>
      <c r="C20" s="352"/>
      <c r="D20" s="352"/>
      <c r="G20" s="105"/>
      <c r="H20" s="105"/>
      <c r="I20" s="105"/>
      <c r="J20" s="105"/>
      <c r="K20" s="105"/>
      <c r="L20" s="105"/>
      <c r="M20" s="105"/>
      <c r="N20" s="105"/>
      <c r="O20" s="105"/>
      <c r="P20" s="105"/>
      <c r="Q20" s="105"/>
      <c r="R20" s="105"/>
      <c r="S20" s="105"/>
    </row>
    <row r="21" spans="2:29" ht="13.5" customHeight="1" x14ac:dyDescent="0.2"/>
    <row r="22" spans="2:29" ht="13.5" customHeight="1" x14ac:dyDescent="0.2"/>
    <row r="23" spans="2:29" ht="13.5" customHeight="1" x14ac:dyDescent="0.2"/>
    <row r="24" spans="2:29" ht="13.5" customHeight="1" x14ac:dyDescent="0.2"/>
    <row r="25" spans="2:29" ht="13.5" customHeight="1" x14ac:dyDescent="0.2"/>
    <row r="26" spans="2:29" ht="13.5" customHeight="1" x14ac:dyDescent="0.2"/>
    <row r="27" spans="2:29" ht="13.5" customHeight="1" x14ac:dyDescent="0.2"/>
    <row r="28" spans="2:29" ht="13.5" customHeight="1" x14ac:dyDescent="0.2"/>
    <row r="29" spans="2:29" ht="13.5" customHeight="1" x14ac:dyDescent="0.2"/>
    <row r="30" spans="2:29" ht="13.5" customHeight="1" x14ac:dyDescent="0.2"/>
    <row r="31" spans="2:29" ht="13.5" customHeight="1" x14ac:dyDescent="0.2"/>
    <row r="32" spans="2:29"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sheetData>
  <sheetProtection selectLockedCells="1" selectUnlockedCells="1"/>
  <mergeCells count="1">
    <mergeCell ref="B20:D20"/>
  </mergeCells>
  <pageMargins left="0.7" right="0.7" top="0.75" bottom="0.75" header="0.3" footer="0.3"/>
  <pageSetup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2D650-E5FB-447D-90AC-E249F8928E77}">
  <sheetPr codeName="Sheet2">
    <tabColor theme="1"/>
  </sheetPr>
  <dimension ref="A1:W98"/>
  <sheetViews>
    <sheetView showGridLines="0" zoomScale="85" zoomScaleNormal="100" zoomScaleSheetLayoutView="70" workbookViewId="0">
      <pane ySplit="1" topLeftCell="A85" activePane="bottomLeft" state="frozen"/>
      <selection activeCell="B1" sqref="B1"/>
      <selection pane="bottomLeft" activeCell="E96" sqref="E96"/>
    </sheetView>
  </sheetViews>
  <sheetFormatPr defaultColWidth="0" defaultRowHeight="14.25" x14ac:dyDescent="0.2"/>
  <cols>
    <col min="1" max="22" width="9.140625" style="82" customWidth="1"/>
    <col min="23" max="23" width="9" style="82" hidden="1" customWidth="1"/>
    <col min="24" max="16384" width="9.140625" style="82" hidden="1"/>
  </cols>
  <sheetData>
    <row r="1" spans="2:21" ht="99.75" customHeight="1" x14ac:dyDescent="0.2"/>
    <row r="2" spans="2:21" ht="26.25" x14ac:dyDescent="0.4">
      <c r="B2" s="6" t="s">
        <v>3</v>
      </c>
    </row>
    <row r="4" spans="2:21" ht="72" customHeight="1" x14ac:dyDescent="0.2">
      <c r="B4" s="352" t="s">
        <v>496</v>
      </c>
      <c r="C4" s="352"/>
      <c r="D4" s="352"/>
      <c r="E4" s="352"/>
      <c r="F4" s="352"/>
      <c r="G4" s="352"/>
      <c r="H4" s="352"/>
      <c r="I4" s="352"/>
      <c r="J4" s="352"/>
      <c r="K4" s="352"/>
      <c r="L4" s="352"/>
      <c r="M4" s="352"/>
      <c r="N4" s="352"/>
      <c r="O4" s="352"/>
      <c r="P4" s="352"/>
      <c r="Q4" s="352"/>
      <c r="R4" s="352"/>
      <c r="S4" s="352"/>
      <c r="T4" s="352"/>
      <c r="U4" s="352"/>
    </row>
    <row r="94" spans="5:5" x14ac:dyDescent="0.2">
      <c r="E94" s="171" t="s">
        <v>507</v>
      </c>
    </row>
    <row r="95" spans="5:5" x14ac:dyDescent="0.2">
      <c r="E95" s="171" t="s">
        <v>516</v>
      </c>
    </row>
    <row r="96" spans="5:5" x14ac:dyDescent="0.2">
      <c r="E96" s="171" t="s">
        <v>497</v>
      </c>
    </row>
    <row r="97" spans="5:5" x14ac:dyDescent="0.2">
      <c r="E97" s="171" t="s">
        <v>498</v>
      </c>
    </row>
    <row r="98" spans="5:5" x14ac:dyDescent="0.2">
      <c r="E98" s="171" t="s">
        <v>499</v>
      </c>
    </row>
  </sheetData>
  <sheetProtection selectLockedCells="1" selectUnlockedCells="1"/>
  <mergeCells count="1">
    <mergeCell ref="B4:U4"/>
  </mergeCells>
  <pageMargins left="0.7" right="0.7" top="0.75" bottom="0.75" header="0.3" footer="0.3"/>
  <pageSetup scale="3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1A998-7D7D-47A0-B395-6DF8572B05A1}">
  <sheetPr codeName="Sheet3">
    <tabColor theme="1"/>
  </sheetPr>
  <dimension ref="A1:W43"/>
  <sheetViews>
    <sheetView showGridLines="0" zoomScale="89" zoomScaleNormal="100" zoomScaleSheetLayoutView="70" workbookViewId="0">
      <pane ySplit="1" topLeftCell="A34" activePane="bottomLeft" state="frozen"/>
      <selection activeCell="B1" sqref="B1"/>
      <selection pane="bottomLeft" activeCell="D46" sqref="D46"/>
    </sheetView>
  </sheetViews>
  <sheetFormatPr defaultColWidth="0" defaultRowHeight="14.25" outlineLevelRow="1" x14ac:dyDescent="0.2"/>
  <cols>
    <col min="1" max="1" width="9.140625" style="82" customWidth="1"/>
    <col min="2" max="2" width="20.85546875" style="82" customWidth="1"/>
    <col min="3" max="3" width="2.85546875" style="82" customWidth="1"/>
    <col min="4" max="4" width="130.85546875" style="82" customWidth="1"/>
    <col min="5" max="5" width="5.85546875" style="82" customWidth="1"/>
    <col min="6" max="21" width="9.140625" style="82" customWidth="1"/>
    <col min="22" max="23" width="9" style="82" hidden="1" customWidth="1"/>
    <col min="24" max="16384" width="9.140625" style="82" hidden="1"/>
  </cols>
  <sheetData>
    <row r="1" spans="2:6" ht="99.75" customHeight="1" x14ac:dyDescent="0.2"/>
    <row r="2" spans="2:6" s="222" customFormat="1" ht="26.25" x14ac:dyDescent="0.4">
      <c r="B2" s="6" t="s">
        <v>4</v>
      </c>
    </row>
    <row r="3" spans="2:6" s="222" customFormat="1" ht="12.75" x14ac:dyDescent="0.2"/>
    <row r="4" spans="2:6" s="222" customFormat="1" ht="12.75" x14ac:dyDescent="0.2">
      <c r="B4" s="106" t="s">
        <v>5</v>
      </c>
      <c r="C4" s="106"/>
      <c r="D4" s="106" t="s">
        <v>6</v>
      </c>
    </row>
    <row r="5" spans="2:6" s="222" customFormat="1" ht="5.0999999999999996" customHeight="1" x14ac:dyDescent="0.2">
      <c r="B5" s="1"/>
      <c r="C5" s="1"/>
      <c r="D5" s="1"/>
    </row>
    <row r="6" spans="2:6" s="224" customFormat="1" ht="15" customHeight="1" x14ac:dyDescent="0.2">
      <c r="B6" s="353" t="s">
        <v>7</v>
      </c>
      <c r="C6" s="2"/>
      <c r="D6" s="223" t="s">
        <v>8</v>
      </c>
    </row>
    <row r="7" spans="2:6" s="224" customFormat="1" ht="51" outlineLevel="1" x14ac:dyDescent="0.2">
      <c r="B7" s="353"/>
      <c r="C7" s="2"/>
      <c r="D7" s="4" t="s">
        <v>9</v>
      </c>
    </row>
    <row r="8" spans="2:6" s="224" customFormat="1" ht="5.0999999999999996" customHeight="1" outlineLevel="1" x14ac:dyDescent="0.2">
      <c r="B8" s="353"/>
      <c r="C8" s="2"/>
      <c r="D8" s="4"/>
    </row>
    <row r="9" spans="2:6" s="224" customFormat="1" ht="15" customHeight="1" x14ac:dyDescent="0.2">
      <c r="B9" s="353"/>
      <c r="C9" s="2"/>
      <c r="D9" s="349" t="s">
        <v>10</v>
      </c>
    </row>
    <row r="10" spans="2:6" s="224" customFormat="1" ht="89.25" outlineLevel="1" x14ac:dyDescent="0.2">
      <c r="B10" s="353"/>
      <c r="C10" s="2"/>
      <c r="D10" s="3" t="s">
        <v>11</v>
      </c>
    </row>
    <row r="11" spans="2:6" s="224" customFormat="1" ht="5.0999999999999996" customHeight="1" outlineLevel="1" x14ac:dyDescent="0.2">
      <c r="B11" s="353"/>
      <c r="C11" s="2"/>
      <c r="D11" s="4"/>
    </row>
    <row r="12" spans="2:6" s="224" customFormat="1" ht="15" customHeight="1" x14ac:dyDescent="0.2">
      <c r="B12" s="353"/>
      <c r="C12" s="2"/>
      <c r="D12" s="349" t="s">
        <v>12</v>
      </c>
    </row>
    <row r="13" spans="2:6" s="224" customFormat="1" ht="102" outlineLevel="1" x14ac:dyDescent="0.2">
      <c r="B13" s="353"/>
      <c r="C13" s="2"/>
      <c r="D13" s="4" t="s">
        <v>13</v>
      </c>
    </row>
    <row r="14" spans="2:6" s="224" customFormat="1" ht="5.0999999999999996" customHeight="1" outlineLevel="1" x14ac:dyDescent="0.2">
      <c r="B14" s="353"/>
      <c r="C14" s="2"/>
      <c r="D14" s="350"/>
    </row>
    <row r="15" spans="2:6" s="224" customFormat="1" ht="15" customHeight="1" x14ac:dyDescent="0.2">
      <c r="B15" s="353"/>
      <c r="C15" s="2"/>
      <c r="D15" s="351" t="s">
        <v>14</v>
      </c>
      <c r="F15" s="40"/>
    </row>
    <row r="16" spans="2:6" s="224" customFormat="1" ht="51" outlineLevel="1" x14ac:dyDescent="0.2">
      <c r="B16" s="353"/>
      <c r="C16" s="2"/>
      <c r="D16" s="4" t="s">
        <v>513</v>
      </c>
    </row>
    <row r="17" spans="2:6" s="224" customFormat="1" ht="5.0999999999999996" customHeight="1" outlineLevel="1" x14ac:dyDescent="0.2">
      <c r="B17" s="354"/>
      <c r="C17" s="2"/>
      <c r="D17" s="350"/>
    </row>
    <row r="18" spans="2:6" s="224" customFormat="1" ht="12.75" x14ac:dyDescent="0.2">
      <c r="B18" s="2"/>
      <c r="C18" s="2"/>
      <c r="D18" s="225"/>
    </row>
    <row r="19" spans="2:6" s="224" customFormat="1" ht="15" customHeight="1" x14ac:dyDescent="0.2">
      <c r="B19" s="353" t="s">
        <v>15</v>
      </c>
      <c r="C19" s="223"/>
      <c r="D19" s="223" t="s">
        <v>16</v>
      </c>
    </row>
    <row r="20" spans="2:6" s="224" customFormat="1" ht="63.75" outlineLevel="1" x14ac:dyDescent="0.2">
      <c r="B20" s="353"/>
      <c r="C20" s="223"/>
      <c r="D20" s="4" t="s">
        <v>515</v>
      </c>
    </row>
    <row r="21" spans="2:6" s="224" customFormat="1" ht="5.0999999999999996" customHeight="1" outlineLevel="1" x14ac:dyDescent="0.2">
      <c r="B21" s="353"/>
      <c r="C21" s="223"/>
      <c r="D21" s="226"/>
    </row>
    <row r="22" spans="2:6" s="224" customFormat="1" ht="15" customHeight="1" x14ac:dyDescent="0.2">
      <c r="B22" s="353"/>
      <c r="C22" s="223"/>
      <c r="D22" s="227" t="s">
        <v>17</v>
      </c>
    </row>
    <row r="23" spans="2:6" s="224" customFormat="1" ht="25.5" outlineLevel="1" x14ac:dyDescent="0.2">
      <c r="B23" s="353"/>
      <c r="C23" s="223"/>
      <c r="D23" s="3" t="s">
        <v>503</v>
      </c>
    </row>
    <row r="24" spans="2:6" s="224" customFormat="1" ht="5.0999999999999996" customHeight="1" outlineLevel="1" x14ac:dyDescent="0.2">
      <c r="B24" s="353"/>
      <c r="C24" s="223"/>
      <c r="D24" s="228"/>
    </row>
    <row r="25" spans="2:6" s="224" customFormat="1" ht="15" customHeight="1" x14ac:dyDescent="0.2">
      <c r="B25" s="353"/>
      <c r="C25" s="223"/>
      <c r="D25" s="227" t="s">
        <v>18</v>
      </c>
    </row>
    <row r="26" spans="2:6" s="224" customFormat="1" ht="30" customHeight="1" outlineLevel="1" x14ac:dyDescent="0.2">
      <c r="B26" s="353"/>
      <c r="C26" s="223"/>
      <c r="D26" s="169" t="s">
        <v>19</v>
      </c>
    </row>
    <row r="27" spans="2:6" s="224" customFormat="1" ht="5.0999999999999996" customHeight="1" outlineLevel="1" x14ac:dyDescent="0.2">
      <c r="B27" s="353"/>
      <c r="C27" s="223"/>
      <c r="D27" s="228"/>
    </row>
    <row r="28" spans="2:6" s="224" customFormat="1" ht="15" customHeight="1" x14ac:dyDescent="0.2">
      <c r="B28" s="353"/>
      <c r="C28" s="223"/>
      <c r="D28" s="227" t="s">
        <v>20</v>
      </c>
    </row>
    <row r="29" spans="2:6" s="224" customFormat="1" ht="25.5" outlineLevel="1" x14ac:dyDescent="0.2">
      <c r="B29" s="353"/>
      <c r="C29" s="223"/>
      <c r="D29" s="3" t="s">
        <v>21</v>
      </c>
    </row>
    <row r="30" spans="2:6" s="224" customFormat="1" ht="5.0999999999999996" customHeight="1" outlineLevel="1" x14ac:dyDescent="0.2">
      <c r="B30" s="353"/>
      <c r="C30" s="223"/>
      <c r="D30" s="228"/>
    </row>
    <row r="31" spans="2:6" s="224" customFormat="1" ht="15" customHeight="1" x14ac:dyDescent="0.2">
      <c r="B31" s="353"/>
      <c r="C31" s="223"/>
      <c r="D31" s="229" t="s">
        <v>22</v>
      </c>
      <c r="F31" s="230"/>
    </row>
    <row r="32" spans="2:6" s="224" customFormat="1" ht="51" outlineLevel="1" x14ac:dyDescent="0.2">
      <c r="B32" s="353"/>
      <c r="C32" s="223"/>
      <c r="D32" s="4" t="s">
        <v>514</v>
      </c>
    </row>
    <row r="33" spans="2:4" s="224" customFormat="1" ht="5.0999999999999996" customHeight="1" outlineLevel="1" x14ac:dyDescent="0.2">
      <c r="B33" s="353"/>
      <c r="C33" s="223"/>
      <c r="D33" s="226"/>
    </row>
    <row r="34" spans="2:4" s="224" customFormat="1" ht="15" customHeight="1" x14ac:dyDescent="0.2">
      <c r="B34" s="353"/>
      <c r="C34" s="223"/>
      <c r="D34" s="229" t="s">
        <v>23</v>
      </c>
    </row>
    <row r="35" spans="2:4" s="224" customFormat="1" ht="12.75" outlineLevel="1" x14ac:dyDescent="0.2">
      <c r="B35" s="353"/>
      <c r="C35" s="223"/>
      <c r="D35" s="4" t="s">
        <v>24</v>
      </c>
    </row>
    <row r="36" spans="2:4" s="224" customFormat="1" ht="5.0999999999999996" customHeight="1" outlineLevel="1" x14ac:dyDescent="0.2">
      <c r="B36" s="353"/>
      <c r="C36" s="223"/>
      <c r="D36" s="5"/>
    </row>
    <row r="37" spans="2:4" s="224" customFormat="1" ht="38.25" outlineLevel="1" x14ac:dyDescent="0.2">
      <c r="B37" s="353"/>
      <c r="C37" s="223"/>
      <c r="D37" s="4" t="s">
        <v>504</v>
      </c>
    </row>
    <row r="38" spans="2:4" s="224" customFormat="1" ht="5.0999999999999996" customHeight="1" outlineLevel="1" x14ac:dyDescent="0.2">
      <c r="B38" s="353"/>
      <c r="C38" s="223"/>
      <c r="D38" s="226"/>
    </row>
    <row r="39" spans="2:4" s="224" customFormat="1" ht="12.75" x14ac:dyDescent="0.2">
      <c r="B39" s="223"/>
      <c r="C39" s="223"/>
      <c r="D39" s="225"/>
    </row>
    <row r="40" spans="2:4" s="224" customFormat="1" ht="15" customHeight="1" x14ac:dyDescent="0.2">
      <c r="B40" s="353" t="s">
        <v>25</v>
      </c>
      <c r="C40" s="223"/>
      <c r="D40" s="223" t="s">
        <v>26</v>
      </c>
    </row>
    <row r="41" spans="2:4" s="224" customFormat="1" ht="114.75" outlineLevel="1" x14ac:dyDescent="0.2">
      <c r="B41" s="353"/>
      <c r="C41" s="223"/>
      <c r="D41" s="169" t="s">
        <v>27</v>
      </c>
    </row>
    <row r="42" spans="2:4" s="224" customFormat="1" ht="15" customHeight="1" outlineLevel="1" x14ac:dyDescent="0.2">
      <c r="B42" s="353"/>
      <c r="C42" s="223"/>
      <c r="D42" s="345" t="s">
        <v>28</v>
      </c>
    </row>
    <row r="43" spans="2:4" s="224" customFormat="1" ht="5.0999999999999996" customHeight="1" outlineLevel="1" x14ac:dyDescent="0.2">
      <c r="B43" s="353"/>
      <c r="C43" s="223"/>
      <c r="D43" s="226"/>
    </row>
  </sheetData>
  <sheetProtection selectLockedCells="1" selectUnlockedCells="1"/>
  <mergeCells count="3">
    <mergeCell ref="B6:B17"/>
    <mergeCell ref="B40:B43"/>
    <mergeCell ref="B19:B38"/>
  </mergeCells>
  <hyperlinks>
    <hyperlink ref="D42" r:id="rId1" xr:uid="{46C10659-F380-40EB-B133-ECDC006FAD4F}"/>
  </hyperlinks>
  <pageMargins left="0.7" right="0.7" top="0.75" bottom="0.75" header="0.3" footer="0.3"/>
  <pageSetup scale="3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sheetPr>
  <dimension ref="B1:Q29"/>
  <sheetViews>
    <sheetView showGridLines="0" zoomScaleNormal="100" workbookViewId="0">
      <pane ySplit="1" topLeftCell="A21" activePane="bottomLeft" state="frozen"/>
      <selection activeCell="B1" sqref="B1"/>
      <selection pane="bottomLeft" activeCell="J29" sqref="J29"/>
    </sheetView>
  </sheetViews>
  <sheetFormatPr defaultColWidth="8.85546875" defaultRowHeight="14.25" x14ac:dyDescent="0.2"/>
  <cols>
    <col min="1" max="1" width="9.140625" style="82" customWidth="1"/>
    <col min="2" max="2" width="12" style="82" customWidth="1"/>
    <col min="3" max="3" width="14.140625" style="82" customWidth="1"/>
    <col min="4" max="16384" width="8.85546875" style="82"/>
  </cols>
  <sheetData>
    <row r="1" spans="2:5" ht="99.75" customHeight="1" x14ac:dyDescent="0.2"/>
    <row r="2" spans="2:5" ht="26.25" x14ac:dyDescent="0.4">
      <c r="B2" s="6" t="s">
        <v>29</v>
      </c>
    </row>
    <row r="4" spans="2:5" s="222" customFormat="1" ht="12.75" x14ac:dyDescent="0.2"/>
    <row r="5" spans="2:5" s="222" customFormat="1" ht="12.75" x14ac:dyDescent="0.2">
      <c r="B5" s="104" t="s">
        <v>30</v>
      </c>
    </row>
    <row r="6" spans="2:5" s="222" customFormat="1" ht="12.75" x14ac:dyDescent="0.2">
      <c r="B6" s="231"/>
      <c r="C6" s="222" t="s">
        <v>31</v>
      </c>
    </row>
    <row r="7" spans="2:5" s="222" customFormat="1" ht="12.75" x14ac:dyDescent="0.2">
      <c r="B7" s="232"/>
      <c r="C7" s="17" t="s">
        <v>491</v>
      </c>
      <c r="D7" s="17"/>
      <c r="E7" s="17"/>
    </row>
    <row r="8" spans="2:5" s="222" customFormat="1" ht="12.75" x14ac:dyDescent="0.2">
      <c r="B8" s="233"/>
      <c r="C8" s="222" t="s">
        <v>32</v>
      </c>
    </row>
    <row r="9" spans="2:5" s="222" customFormat="1" ht="12.75" x14ac:dyDescent="0.2">
      <c r="B9" s="234"/>
      <c r="C9" s="222" t="s">
        <v>33</v>
      </c>
    </row>
    <row r="10" spans="2:5" s="222" customFormat="1" ht="12.75" x14ac:dyDescent="0.2"/>
    <row r="11" spans="2:5" s="222" customFormat="1" ht="12.75" x14ac:dyDescent="0.2">
      <c r="B11" s="104" t="s">
        <v>34</v>
      </c>
    </row>
    <row r="12" spans="2:5" s="222" customFormat="1" ht="12.75" x14ac:dyDescent="0.2">
      <c r="B12" s="222" t="s">
        <v>35</v>
      </c>
    </row>
    <row r="13" spans="2:5" s="222" customFormat="1" ht="12.75" x14ac:dyDescent="0.2">
      <c r="B13" s="222" t="s">
        <v>36</v>
      </c>
    </row>
    <row r="14" spans="2:5" s="222" customFormat="1" ht="12.75" x14ac:dyDescent="0.2"/>
    <row r="15" spans="2:5" s="222" customFormat="1" ht="12.75" x14ac:dyDescent="0.2">
      <c r="B15" s="104" t="s">
        <v>37</v>
      </c>
    </row>
    <row r="16" spans="2:5" s="222" customFormat="1" ht="12.75" x14ac:dyDescent="0.2">
      <c r="B16" s="27" t="s">
        <v>38</v>
      </c>
    </row>
    <row r="17" spans="2:17" s="222" customFormat="1" ht="12.75" x14ac:dyDescent="0.2">
      <c r="B17" s="27" t="s">
        <v>39</v>
      </c>
    </row>
    <row r="18" spans="2:17" s="222" customFormat="1" ht="12.75" x14ac:dyDescent="0.2">
      <c r="B18" s="27" t="s">
        <v>40</v>
      </c>
    </row>
    <row r="19" spans="2:17" s="222" customFormat="1" ht="12.75" x14ac:dyDescent="0.2"/>
    <row r="20" spans="2:17" s="222" customFormat="1" ht="15.95" customHeight="1" x14ac:dyDescent="0.2"/>
    <row r="21" spans="2:17" s="222" customFormat="1" ht="19.5" customHeight="1" x14ac:dyDescent="0.2">
      <c r="B21" s="215" t="s">
        <v>41</v>
      </c>
      <c r="C21" s="215" t="s">
        <v>42</v>
      </c>
      <c r="D21" s="359" t="s">
        <v>43</v>
      </c>
      <c r="E21" s="359"/>
      <c r="F21" s="359"/>
      <c r="G21" s="359"/>
      <c r="H21" s="359"/>
      <c r="I21" s="359"/>
      <c r="J21" s="359"/>
      <c r="K21" s="359"/>
      <c r="L21" s="359"/>
      <c r="M21" s="359"/>
      <c r="N21" s="359"/>
      <c r="O21" s="359"/>
      <c r="P21" s="359"/>
      <c r="Q21" s="359"/>
    </row>
    <row r="22" spans="2:17" s="222" customFormat="1" ht="19.5" customHeight="1" x14ac:dyDescent="0.2">
      <c r="B22" s="215" t="s">
        <v>44</v>
      </c>
      <c r="C22" s="216">
        <v>44480</v>
      </c>
      <c r="D22" s="356" t="s">
        <v>45</v>
      </c>
      <c r="E22" s="357"/>
      <c r="F22" s="357"/>
      <c r="G22" s="357"/>
      <c r="H22" s="357"/>
      <c r="I22" s="357"/>
      <c r="J22" s="357"/>
      <c r="K22" s="357"/>
      <c r="L22" s="357"/>
      <c r="M22" s="357"/>
      <c r="N22" s="357"/>
      <c r="O22" s="357"/>
      <c r="P22" s="357"/>
      <c r="Q22" s="358"/>
    </row>
    <row r="23" spans="2:17" s="222" customFormat="1" ht="30" customHeight="1" x14ac:dyDescent="0.2">
      <c r="B23" s="215" t="s">
        <v>46</v>
      </c>
      <c r="C23" s="216">
        <v>44683</v>
      </c>
      <c r="D23" s="360" t="s">
        <v>47</v>
      </c>
      <c r="E23" s="360"/>
      <c r="F23" s="360"/>
      <c r="G23" s="360"/>
      <c r="H23" s="360"/>
      <c r="I23" s="360"/>
      <c r="J23" s="360"/>
      <c r="K23" s="360"/>
      <c r="L23" s="360"/>
      <c r="M23" s="360"/>
      <c r="N23" s="360"/>
      <c r="O23" s="360"/>
      <c r="P23" s="360"/>
      <c r="Q23" s="360"/>
    </row>
    <row r="24" spans="2:17" ht="39.75" customHeight="1" x14ac:dyDescent="0.2">
      <c r="B24" s="215" t="s">
        <v>48</v>
      </c>
      <c r="C24" s="216">
        <v>45027</v>
      </c>
      <c r="D24" s="360" t="s">
        <v>502</v>
      </c>
      <c r="E24" s="360"/>
      <c r="F24" s="360"/>
      <c r="G24" s="360"/>
      <c r="H24" s="360"/>
      <c r="I24" s="360"/>
      <c r="J24" s="360"/>
      <c r="K24" s="360"/>
      <c r="L24" s="360"/>
      <c r="M24" s="360"/>
      <c r="N24" s="360"/>
      <c r="O24" s="360"/>
      <c r="P24" s="360"/>
      <c r="Q24" s="360"/>
    </row>
    <row r="25" spans="2:17" x14ac:dyDescent="0.2">
      <c r="B25" s="215" t="s">
        <v>49</v>
      </c>
      <c r="C25" s="216">
        <v>45049</v>
      </c>
      <c r="D25" s="360" t="s">
        <v>50</v>
      </c>
      <c r="E25" s="360"/>
      <c r="F25" s="360"/>
      <c r="G25" s="360"/>
      <c r="H25" s="360"/>
      <c r="I25" s="360"/>
      <c r="J25" s="360"/>
      <c r="K25" s="360"/>
      <c r="L25" s="360"/>
      <c r="M25" s="360"/>
      <c r="N25" s="360"/>
      <c r="O25" s="360"/>
      <c r="P25" s="360"/>
      <c r="Q25" s="360"/>
    </row>
    <row r="26" spans="2:17" x14ac:dyDescent="0.2">
      <c r="B26" s="215" t="s">
        <v>51</v>
      </c>
      <c r="C26" s="216">
        <v>45413</v>
      </c>
      <c r="D26" s="355" t="s">
        <v>508</v>
      </c>
      <c r="E26" s="355"/>
      <c r="F26" s="355"/>
      <c r="G26" s="355"/>
      <c r="H26" s="355"/>
      <c r="I26" s="355"/>
      <c r="J26" s="355"/>
      <c r="K26" s="355"/>
      <c r="L26" s="355"/>
      <c r="M26" s="355"/>
      <c r="N26" s="355"/>
      <c r="O26" s="355"/>
      <c r="P26" s="355"/>
      <c r="Q26" s="355"/>
    </row>
    <row r="27" spans="2:17" x14ac:dyDescent="0.2">
      <c r="B27" s="343"/>
      <c r="C27" s="344"/>
      <c r="D27" s="329"/>
      <c r="E27" s="213"/>
      <c r="F27" s="213"/>
      <c r="G27" s="213"/>
      <c r="H27" s="213"/>
      <c r="I27" s="213"/>
      <c r="J27" s="213"/>
      <c r="K27" s="213"/>
      <c r="L27" s="213"/>
      <c r="M27" s="213"/>
      <c r="N27" s="213"/>
      <c r="O27" s="213"/>
      <c r="P27" s="213"/>
      <c r="Q27" s="213"/>
    </row>
    <row r="29" spans="2:17" ht="244.5" customHeight="1" x14ac:dyDescent="0.2"/>
  </sheetData>
  <sheetProtection selectLockedCells="1" selectUnlockedCells="1"/>
  <mergeCells count="6">
    <mergeCell ref="D26:Q26"/>
    <mergeCell ref="D22:Q22"/>
    <mergeCell ref="D21:Q21"/>
    <mergeCell ref="D25:Q25"/>
    <mergeCell ref="D24:Q24"/>
    <mergeCell ref="D23:Q23"/>
  </mergeCells>
  <pageMargins left="0.7" right="0.7" top="0.75" bottom="0.75" header="0.3" footer="0.3"/>
  <pageSetup scale="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1"/>
  </sheetPr>
  <dimension ref="A1:P53"/>
  <sheetViews>
    <sheetView showGridLines="0" zoomScaleNormal="100" workbookViewId="0">
      <pane ySplit="1" topLeftCell="A9" activePane="bottomLeft" state="frozen"/>
      <selection activeCell="B1" sqref="B1"/>
      <selection pane="bottomLeft"/>
    </sheetView>
  </sheetViews>
  <sheetFormatPr defaultColWidth="0" defaultRowHeight="14.25" zeroHeight="1" x14ac:dyDescent="0.2"/>
  <cols>
    <col min="1" max="1" width="9.140625" style="82" customWidth="1"/>
    <col min="2" max="2" width="15" style="82" customWidth="1"/>
    <col min="3" max="3" width="46.85546875" style="82" bestFit="1" customWidth="1"/>
    <col min="4" max="6" width="34" style="82" customWidth="1"/>
    <col min="7" max="7" width="9.140625" style="82" customWidth="1"/>
    <col min="8" max="16" width="0" style="82" hidden="1" customWidth="1"/>
    <col min="17" max="16384" width="9.140625" style="82" hidden="1"/>
  </cols>
  <sheetData>
    <row r="1" spans="2:3" ht="99.75" customHeight="1" x14ac:dyDescent="0.2"/>
    <row r="2" spans="2:3" s="222" customFormat="1" ht="37.5" customHeight="1" x14ac:dyDescent="0.4">
      <c r="B2" s="6" t="s">
        <v>52</v>
      </c>
    </row>
    <row r="3" spans="2:3" s="222" customFormat="1" ht="12.75" x14ac:dyDescent="0.2"/>
    <row r="4" spans="2:3" s="222" customFormat="1" ht="12.75" x14ac:dyDescent="0.2">
      <c r="B4" s="52" t="s">
        <v>53</v>
      </c>
      <c r="C4" s="52" t="s">
        <v>54</v>
      </c>
    </row>
    <row r="5" spans="2:3" s="222" customFormat="1" ht="12.75" x14ac:dyDescent="0.2">
      <c r="B5" s="222" t="s">
        <v>55</v>
      </c>
      <c r="C5" s="222" t="s">
        <v>56</v>
      </c>
    </row>
    <row r="6" spans="2:3" s="222" customFormat="1" ht="12.75" x14ac:dyDescent="0.2">
      <c r="B6" s="222" t="s">
        <v>57</v>
      </c>
      <c r="C6" s="222" t="s">
        <v>58</v>
      </c>
    </row>
    <row r="7" spans="2:3" s="222" customFormat="1" ht="12.75" x14ac:dyDescent="0.2">
      <c r="B7" s="222" t="s">
        <v>59</v>
      </c>
      <c r="C7" s="222" t="s">
        <v>60</v>
      </c>
    </row>
    <row r="8" spans="2:3" s="222" customFormat="1" ht="12.75" x14ac:dyDescent="0.2">
      <c r="B8" s="222" t="s">
        <v>61</v>
      </c>
      <c r="C8" s="222" t="s">
        <v>62</v>
      </c>
    </row>
    <row r="9" spans="2:3" s="222" customFormat="1" ht="12.75" x14ac:dyDescent="0.2">
      <c r="B9" s="222" t="s">
        <v>63</v>
      </c>
      <c r="C9" s="222" t="s">
        <v>64</v>
      </c>
    </row>
    <row r="10" spans="2:3" s="222" customFormat="1" ht="12.75" x14ac:dyDescent="0.2">
      <c r="B10" s="222" t="s">
        <v>65</v>
      </c>
      <c r="C10" s="222" t="s">
        <v>66</v>
      </c>
    </row>
    <row r="11" spans="2:3" s="222" customFormat="1" ht="12.75" x14ac:dyDescent="0.2">
      <c r="B11" s="222" t="s">
        <v>67</v>
      </c>
      <c r="C11" s="222" t="s">
        <v>68</v>
      </c>
    </row>
    <row r="12" spans="2:3" s="222" customFormat="1" ht="12.75" x14ac:dyDescent="0.2">
      <c r="B12" s="222" t="s">
        <v>69</v>
      </c>
      <c r="C12" s="222" t="s">
        <v>70</v>
      </c>
    </row>
    <row r="13" spans="2:3" s="222" customFormat="1" ht="15.75" x14ac:dyDescent="0.3">
      <c r="B13" s="222" t="s">
        <v>71</v>
      </c>
      <c r="C13" s="222" t="s">
        <v>72</v>
      </c>
    </row>
    <row r="14" spans="2:3" s="222" customFormat="1" ht="12.75" x14ac:dyDescent="0.2">
      <c r="B14" s="222" t="s">
        <v>73</v>
      </c>
      <c r="C14" s="222" t="s">
        <v>74</v>
      </c>
    </row>
    <row r="15" spans="2:3" s="222" customFormat="1" ht="12.75" x14ac:dyDescent="0.2">
      <c r="B15" s="222" t="s">
        <v>75</v>
      </c>
      <c r="C15" s="222" t="s">
        <v>76</v>
      </c>
    </row>
    <row r="16" spans="2:3" s="222" customFormat="1" ht="12.75" x14ac:dyDescent="0.2">
      <c r="B16" s="222" t="s">
        <v>77</v>
      </c>
      <c r="C16" s="222" t="s">
        <v>78</v>
      </c>
    </row>
    <row r="17" spans="2:3" s="222" customFormat="1" ht="12.75" x14ac:dyDescent="0.2">
      <c r="B17" s="222" t="s">
        <v>79</v>
      </c>
      <c r="C17" s="222" t="s">
        <v>80</v>
      </c>
    </row>
    <row r="18" spans="2:3" s="222" customFormat="1" ht="15.75" x14ac:dyDescent="0.3">
      <c r="B18" s="222" t="s">
        <v>81</v>
      </c>
      <c r="C18" s="222" t="s">
        <v>82</v>
      </c>
    </row>
    <row r="19" spans="2:3" s="222" customFormat="1" ht="15.75" x14ac:dyDescent="0.3">
      <c r="B19" s="222" t="s">
        <v>83</v>
      </c>
      <c r="C19" s="222" t="s">
        <v>84</v>
      </c>
    </row>
    <row r="20" spans="2:3" s="222" customFormat="1" ht="12.75" x14ac:dyDescent="0.2">
      <c r="B20" s="222" t="s">
        <v>85</v>
      </c>
      <c r="C20" s="222" t="s">
        <v>86</v>
      </c>
    </row>
    <row r="21" spans="2:3" s="222" customFormat="1" ht="12.75" x14ac:dyDescent="0.2">
      <c r="B21" s="222" t="s">
        <v>87</v>
      </c>
      <c r="C21" s="222" t="s">
        <v>88</v>
      </c>
    </row>
    <row r="22" spans="2:3" s="222" customFormat="1" ht="12.75" x14ac:dyDescent="0.2">
      <c r="B22" s="222" t="s">
        <v>89</v>
      </c>
      <c r="C22" s="222" t="s">
        <v>90</v>
      </c>
    </row>
    <row r="23" spans="2:3" s="222" customFormat="1" ht="12.75" x14ac:dyDescent="0.2">
      <c r="B23" s="222" t="s">
        <v>91</v>
      </c>
      <c r="C23" s="222" t="s">
        <v>92</v>
      </c>
    </row>
    <row r="24" spans="2:3" s="222" customFormat="1" ht="12.75" x14ac:dyDescent="0.2">
      <c r="B24" s="222" t="s">
        <v>93</v>
      </c>
      <c r="C24" s="222" t="s">
        <v>94</v>
      </c>
    </row>
    <row r="25" spans="2:3" s="222" customFormat="1" ht="12.75" x14ac:dyDescent="0.2">
      <c r="B25" s="222" t="s">
        <v>95</v>
      </c>
      <c r="C25" s="222" t="s">
        <v>96</v>
      </c>
    </row>
    <row r="26" spans="2:3" s="222" customFormat="1" ht="12.75" x14ac:dyDescent="0.2">
      <c r="B26" s="222" t="s">
        <v>97</v>
      </c>
      <c r="C26" s="222" t="s">
        <v>98</v>
      </c>
    </row>
    <row r="27" spans="2:3" s="222" customFormat="1" ht="12.75" x14ac:dyDescent="0.2">
      <c r="B27" s="222" t="s">
        <v>99</v>
      </c>
      <c r="C27" s="222" t="s">
        <v>100</v>
      </c>
    </row>
    <row r="28" spans="2:3" s="222" customFormat="1" ht="12.75" x14ac:dyDescent="0.2">
      <c r="B28" s="222" t="s">
        <v>101</v>
      </c>
      <c r="C28" s="222" t="s">
        <v>102</v>
      </c>
    </row>
    <row r="29" spans="2:3" s="222" customFormat="1" ht="12.75" x14ac:dyDescent="0.2">
      <c r="B29" s="222" t="s">
        <v>103</v>
      </c>
      <c r="C29" s="222" t="s">
        <v>104</v>
      </c>
    </row>
    <row r="30" spans="2:3" s="222" customFormat="1" ht="12.75" x14ac:dyDescent="0.2">
      <c r="B30" s="222" t="s">
        <v>105</v>
      </c>
      <c r="C30" s="222" t="s">
        <v>106</v>
      </c>
    </row>
    <row r="31" spans="2:3" s="222" customFormat="1" ht="12.75" x14ac:dyDescent="0.2">
      <c r="B31" s="222" t="s">
        <v>107</v>
      </c>
      <c r="C31" s="222" t="s">
        <v>108</v>
      </c>
    </row>
    <row r="32" spans="2:3" s="222" customFormat="1" ht="15.75" x14ac:dyDescent="0.3">
      <c r="B32" s="222" t="s">
        <v>109</v>
      </c>
      <c r="C32" s="222" t="s">
        <v>110</v>
      </c>
    </row>
    <row r="33" spans="2:3" s="222" customFormat="1" ht="12.75" x14ac:dyDescent="0.2">
      <c r="B33" s="222" t="s">
        <v>111</v>
      </c>
      <c r="C33" s="222" t="s">
        <v>112</v>
      </c>
    </row>
    <row r="34" spans="2:3" s="222" customFormat="1" ht="12.75" x14ac:dyDescent="0.2">
      <c r="B34" s="222" t="s">
        <v>113</v>
      </c>
      <c r="C34" s="222" t="s">
        <v>114</v>
      </c>
    </row>
    <row r="35" spans="2:3" s="222" customFormat="1" ht="12.75" x14ac:dyDescent="0.2">
      <c r="B35" s="222" t="s">
        <v>115</v>
      </c>
      <c r="C35" s="222" t="s">
        <v>116</v>
      </c>
    </row>
    <row r="36" spans="2:3" s="222" customFormat="1" ht="12.75" x14ac:dyDescent="0.2">
      <c r="B36" s="222" t="s">
        <v>117</v>
      </c>
      <c r="C36" s="222" t="s">
        <v>118</v>
      </c>
    </row>
    <row r="37" spans="2:3" s="222" customFormat="1" ht="12.75" x14ac:dyDescent="0.2">
      <c r="B37" s="222" t="s">
        <v>119</v>
      </c>
      <c r="C37" s="222" t="s">
        <v>120</v>
      </c>
    </row>
    <row r="38" spans="2:3" s="222" customFormat="1" ht="12.75" x14ac:dyDescent="0.2">
      <c r="B38" s="222" t="s">
        <v>121</v>
      </c>
      <c r="C38" s="222" t="s">
        <v>122</v>
      </c>
    </row>
    <row r="39" spans="2:3" s="222" customFormat="1" ht="12.75" x14ac:dyDescent="0.2">
      <c r="B39" s="222" t="s">
        <v>123</v>
      </c>
      <c r="C39" s="222" t="s">
        <v>124</v>
      </c>
    </row>
    <row r="40" spans="2:3" s="222" customFormat="1" ht="12.75" x14ac:dyDescent="0.2">
      <c r="B40" s="222" t="s">
        <v>125</v>
      </c>
      <c r="C40" s="222" t="s">
        <v>126</v>
      </c>
    </row>
    <row r="41" spans="2:3" s="222" customFormat="1" ht="12.75" x14ac:dyDescent="0.2">
      <c r="B41" s="222" t="s">
        <v>127</v>
      </c>
      <c r="C41" s="222" t="s">
        <v>128</v>
      </c>
    </row>
    <row r="42" spans="2:3" s="222" customFormat="1" ht="12.75" x14ac:dyDescent="0.2">
      <c r="B42" s="222" t="s">
        <v>129</v>
      </c>
      <c r="C42" s="222" t="s">
        <v>130</v>
      </c>
    </row>
    <row r="43" spans="2:3" s="222" customFormat="1" ht="15.75" x14ac:dyDescent="0.3">
      <c r="B43" s="222" t="s">
        <v>131</v>
      </c>
      <c r="C43" s="222" t="s">
        <v>132</v>
      </c>
    </row>
    <row r="44" spans="2:3" s="222" customFormat="1" ht="12.75" x14ac:dyDescent="0.2">
      <c r="B44" s="222" t="s">
        <v>133</v>
      </c>
      <c r="C44" s="222" t="s">
        <v>134</v>
      </c>
    </row>
    <row r="45" spans="2:3" s="222" customFormat="1" ht="12.75" x14ac:dyDescent="0.2">
      <c r="B45" s="222" t="s">
        <v>135</v>
      </c>
      <c r="C45" s="222" t="s">
        <v>136</v>
      </c>
    </row>
    <row r="46" spans="2:3" s="222" customFormat="1" ht="12.75" x14ac:dyDescent="0.2">
      <c r="B46" s="222" t="s">
        <v>137</v>
      </c>
      <c r="C46" s="222" t="s">
        <v>138</v>
      </c>
    </row>
    <row r="47" spans="2:3" s="222" customFormat="1" ht="12.75" x14ac:dyDescent="0.2"/>
    <row r="48" spans="2:3" s="222" customFormat="1" ht="12.75" x14ac:dyDescent="0.2"/>
    <row r="49" s="222" customFormat="1" ht="12.75" x14ac:dyDescent="0.2"/>
    <row r="50" s="222" customFormat="1" ht="12.75" x14ac:dyDescent="0.2"/>
    <row r="51" s="222" customFormat="1" ht="12.75" x14ac:dyDescent="0.2"/>
    <row r="52" s="222" customFormat="1" ht="12.75" x14ac:dyDescent="0.2"/>
    <row r="53" x14ac:dyDescent="0.2"/>
  </sheetData>
  <sheetProtection selectLockedCells="1" selectUnlockedCells="1"/>
  <pageMargins left="0.7" right="0.7" top="0.75" bottom="0.75" header="0.3" footer="0.3"/>
  <pageSetup scale="50"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0070C0"/>
  </sheetPr>
  <dimension ref="A1:X42"/>
  <sheetViews>
    <sheetView showGridLines="0" topLeftCell="B1" zoomScale="64" zoomScaleNormal="100" workbookViewId="0">
      <pane ySplit="1" topLeftCell="A15" activePane="bottomLeft" state="frozen"/>
      <selection activeCell="B1" sqref="B1"/>
      <selection pane="bottomLeft" activeCell="F42" sqref="F42"/>
    </sheetView>
  </sheetViews>
  <sheetFormatPr defaultColWidth="0" defaultRowHeight="12.75" zeroHeight="1" x14ac:dyDescent="0.2"/>
  <cols>
    <col min="1" max="1" width="8.42578125" style="222" customWidth="1"/>
    <col min="2" max="2" width="56" style="222" customWidth="1"/>
    <col min="3" max="3" width="10.140625" style="222" bestFit="1" customWidth="1"/>
    <col min="4" max="4" width="16.140625" style="222" customWidth="1"/>
    <col min="5" max="5" width="5.85546875" style="222" customWidth="1"/>
    <col min="6" max="6" width="29.140625" style="222" customWidth="1"/>
    <col min="7" max="9" width="16.42578125" style="222" customWidth="1"/>
    <col min="10" max="18" width="9.140625" style="222" customWidth="1"/>
    <col min="19" max="24" width="0" style="222" hidden="1" customWidth="1"/>
    <col min="25" max="16384" width="9.140625" style="222" hidden="1"/>
  </cols>
  <sheetData>
    <row r="1" spans="1:18" ht="99.75" customHeight="1" x14ac:dyDescent="0.2">
      <c r="Q1" s="68">
        <v>1</v>
      </c>
      <c r="R1" s="69"/>
    </row>
    <row r="2" spans="1:18" ht="13.5" thickBot="1" x14ac:dyDescent="0.25">
      <c r="A2" s="17"/>
      <c r="B2" s="17"/>
      <c r="C2" s="17"/>
      <c r="D2" s="17"/>
      <c r="E2" s="17"/>
      <c r="F2" s="17"/>
      <c r="G2" s="17"/>
      <c r="H2" s="17"/>
      <c r="I2" s="17"/>
      <c r="J2" s="17"/>
      <c r="K2" s="17"/>
      <c r="L2" s="17"/>
      <c r="M2" s="17"/>
      <c r="N2" s="17"/>
      <c r="O2" s="17"/>
      <c r="P2" s="17"/>
      <c r="Q2" s="68" t="b">
        <v>1</v>
      </c>
      <c r="R2" s="69"/>
    </row>
    <row r="3" spans="1:18" ht="27" customHeight="1" thickBot="1" x14ac:dyDescent="0.25">
      <c r="B3" s="235" t="s">
        <v>139</v>
      </c>
      <c r="F3" s="102" t="str">
        <f>F20&amp;":  "</f>
        <v xml:space="preserve">PCI, HHV Basis:  </v>
      </c>
      <c r="G3" s="103" t="str">
        <f>FIXED(I20,1)&amp;" gCO2e/MJ"</f>
        <v>71.1 gCO2e/MJ</v>
      </c>
      <c r="H3" s="236"/>
      <c r="I3" s="70" t="s">
        <v>140</v>
      </c>
      <c r="J3" s="237"/>
      <c r="K3" s="71" t="s">
        <v>141</v>
      </c>
      <c r="L3" s="237"/>
      <c r="M3" s="238"/>
      <c r="Q3" s="69"/>
      <c r="R3" s="69"/>
    </row>
    <row r="4" spans="1:18" ht="15.75" x14ac:dyDescent="0.2">
      <c r="B4" s="185" t="s">
        <v>142</v>
      </c>
      <c r="F4" s="183"/>
      <c r="G4" s="184"/>
      <c r="H4" s="239"/>
      <c r="I4" s="182"/>
      <c r="J4" s="240"/>
      <c r="K4" s="181"/>
      <c r="L4" s="240"/>
      <c r="M4" s="240"/>
      <c r="Q4" s="69"/>
      <c r="R4" s="69"/>
    </row>
    <row r="5" spans="1:18" ht="15.75" x14ac:dyDescent="0.2">
      <c r="B5" s="185" t="s">
        <v>143</v>
      </c>
      <c r="F5" s="183"/>
      <c r="G5" s="184"/>
      <c r="H5" s="239"/>
      <c r="I5" s="182"/>
      <c r="J5" s="240"/>
      <c r="K5" s="181"/>
      <c r="L5" s="240"/>
      <c r="M5" s="240"/>
      <c r="Q5" s="69"/>
      <c r="R5" s="69"/>
    </row>
    <row r="6" spans="1:18" ht="15.75" x14ac:dyDescent="0.2">
      <c r="B6" s="235"/>
      <c r="F6" s="183"/>
      <c r="G6" s="184"/>
      <c r="H6" s="239"/>
      <c r="I6" s="182"/>
      <c r="J6" s="240"/>
      <c r="K6" s="181"/>
      <c r="L6" s="240"/>
      <c r="M6" s="240"/>
      <c r="Q6" s="69"/>
      <c r="R6" s="69"/>
    </row>
    <row r="7" spans="1:18" ht="31.5" customHeight="1" x14ac:dyDescent="0.2">
      <c r="B7" s="72" t="s">
        <v>144</v>
      </c>
      <c r="C7" s="73" t="s">
        <v>145</v>
      </c>
      <c r="D7" s="74" t="s">
        <v>146</v>
      </c>
      <c r="F7" s="362" t="str">
        <f>IF($Q$1=1,"PCI Calculations Summary Table (Higher Heating Value Basis)*","Sensivity Calculation (Lower Heating Value Basis)*")</f>
        <v>PCI Calculations Summary Table (Higher Heating Value Basis)*</v>
      </c>
      <c r="G7" s="362"/>
      <c r="H7" s="362"/>
      <c r="I7" s="362"/>
    </row>
    <row r="8" spans="1:18" ht="21" customHeight="1" x14ac:dyDescent="0.2">
      <c r="B8" s="75" t="s">
        <v>147</v>
      </c>
      <c r="C8" s="75"/>
      <c r="D8" s="76"/>
      <c r="F8" s="361" t="str">
        <f>IF(Q2=TRUE,"Chevron Default Factors used in calculation","Custom Factors used in calculation")</f>
        <v>Chevron Default Factors used in calculation</v>
      </c>
      <c r="G8" s="361"/>
      <c r="H8" s="361"/>
      <c r="I8" s="361"/>
    </row>
    <row r="9" spans="1:18" ht="17.25" customHeight="1" thickBot="1" x14ac:dyDescent="0.25">
      <c r="B9" s="77" t="s">
        <v>148</v>
      </c>
      <c r="C9" s="180">
        <f>997+833</f>
        <v>1830</v>
      </c>
      <c r="D9" s="242" t="s">
        <v>149</v>
      </c>
      <c r="F9" s="364" t="s">
        <v>150</v>
      </c>
      <c r="G9" s="364" t="s">
        <v>151</v>
      </c>
      <c r="H9" s="364" t="s">
        <v>152</v>
      </c>
      <c r="I9" s="364" t="s">
        <v>153</v>
      </c>
    </row>
    <row r="10" spans="1:18" ht="17.25" customHeight="1" thickTop="1" thickBot="1" x14ac:dyDescent="0.25">
      <c r="B10" s="243" t="s">
        <v>154</v>
      </c>
      <c r="C10" s="180">
        <f>2112+5632</f>
        <v>7744</v>
      </c>
      <c r="D10" s="242" t="s">
        <v>155</v>
      </c>
      <c r="F10" s="364"/>
      <c r="G10" s="364"/>
      <c r="H10" s="364"/>
      <c r="I10" s="364"/>
    </row>
    <row r="11" spans="1:18" ht="17.25" customHeight="1" thickTop="1" thickBot="1" x14ac:dyDescent="0.25">
      <c r="B11" s="243" t="s">
        <v>156</v>
      </c>
      <c r="C11" s="180">
        <f>64+532</f>
        <v>596</v>
      </c>
      <c r="D11" s="242" t="s">
        <v>155</v>
      </c>
      <c r="F11" s="364"/>
      <c r="G11" s="364"/>
      <c r="H11" s="364"/>
      <c r="I11" s="364"/>
    </row>
    <row r="12" spans="1:18" ht="17.25" customHeight="1" thickTop="1" thickBot="1" x14ac:dyDescent="0.35">
      <c r="B12" s="243" t="s">
        <v>157</v>
      </c>
      <c r="C12" s="180">
        <v>26.1</v>
      </c>
      <c r="D12" s="242" t="s">
        <v>158</v>
      </c>
      <c r="F12" s="366"/>
      <c r="G12" s="366"/>
      <c r="H12" s="366"/>
      <c r="I12" s="366"/>
    </row>
    <row r="13" spans="1:18" ht="17.25" customHeight="1" thickTop="1" thickBot="1" x14ac:dyDescent="0.35">
      <c r="B13" s="243" t="s">
        <v>159</v>
      </c>
      <c r="C13" s="180">
        <v>22.4</v>
      </c>
      <c r="D13" s="242" t="s">
        <v>158</v>
      </c>
      <c r="F13" s="244" t="s">
        <v>160</v>
      </c>
      <c r="G13" s="107">
        <f>IF($Q$1=1,'Oil and Refined Products'!$C$6,'Oil and Refined Products'!$E$108/1000000)</f>
        <v>5.6592130963387017</v>
      </c>
      <c r="H13" s="108">
        <f>'Oil and Refined Products'!$C$7</f>
        <v>461.87836814076337</v>
      </c>
      <c r="I13" s="245">
        <f>IF(G13&gt;0,H13/G13,0)</f>
        <v>81.615298854814512</v>
      </c>
    </row>
    <row r="14" spans="1:18" ht="17.25" customHeight="1" thickTop="1" x14ac:dyDescent="0.2">
      <c r="B14" s="75" t="s">
        <v>161</v>
      </c>
      <c r="C14" s="317"/>
      <c r="D14" s="76"/>
      <c r="F14" s="244" t="s">
        <v>162</v>
      </c>
      <c r="G14" s="107">
        <f>IF($Q$1=1,'Gas and LNG'!$C$6,'Gas and LNG'!$G$38/1000000)</f>
        <v>4.2709837183760149</v>
      </c>
      <c r="H14" s="108">
        <f>'Gas and LNG'!$C$7</f>
        <v>255.43289889226332</v>
      </c>
      <c r="I14" s="245">
        <f t="shared" ref="I14:I19" si="0">IF(G14&gt;0,H14/G14,0)</f>
        <v>59.8065728495421</v>
      </c>
    </row>
    <row r="15" spans="1:18" ht="17.25" customHeight="1" thickBot="1" x14ac:dyDescent="0.25">
      <c r="B15" s="243" t="s">
        <v>163</v>
      </c>
      <c r="C15" s="180">
        <f>934+626</f>
        <v>1560</v>
      </c>
      <c r="D15" s="242" t="s">
        <v>149</v>
      </c>
      <c r="F15" s="244" t="s">
        <v>164</v>
      </c>
      <c r="G15" s="107">
        <f>IF($Q$1=1,NGLs!$C$6,NGLs!$G$36/1000000)</f>
        <v>0.8678665533536537</v>
      </c>
      <c r="H15" s="108">
        <f>NGLs!$C$7</f>
        <v>62.396935344305888</v>
      </c>
      <c r="I15" s="245">
        <f t="shared" si="0"/>
        <v>71.896923672410821</v>
      </c>
    </row>
    <row r="16" spans="1:18" ht="17.25" customHeight="1" thickTop="1" thickBot="1" x14ac:dyDescent="0.25">
      <c r="B16" s="243" t="s">
        <v>165</v>
      </c>
      <c r="C16" s="180">
        <v>36</v>
      </c>
      <c r="D16" s="242" t="s">
        <v>166</v>
      </c>
      <c r="F16" s="244" t="s">
        <v>167</v>
      </c>
      <c r="G16" s="107">
        <f>IF($Q$1=1,Biofuels!$C$6,Biofuels!$C$24)</f>
        <v>0.20668692975331734</v>
      </c>
      <c r="H16" s="108">
        <f>Biofuels!$C$7</f>
        <v>7.2314580568090534</v>
      </c>
      <c r="I16" s="245">
        <f t="shared" si="0"/>
        <v>34.98749565557852</v>
      </c>
    </row>
    <row r="17" spans="1:9" ht="17.25" customHeight="1" thickTop="1" x14ac:dyDescent="0.2">
      <c r="B17" s="75" t="s">
        <v>168</v>
      </c>
      <c r="C17" s="317"/>
      <c r="D17" s="76"/>
      <c r="F17" s="244" t="s">
        <v>169</v>
      </c>
      <c r="G17" s="107">
        <f>IF($Q$1=1,Hydrogen!$C$6,Hydrogen!$F$27/1000000)</f>
        <v>0</v>
      </c>
      <c r="H17" s="108">
        <f>Hydrogen!$C$7</f>
        <v>0</v>
      </c>
      <c r="I17" s="245">
        <f t="shared" si="0"/>
        <v>0</v>
      </c>
    </row>
    <row r="18" spans="1:9" ht="17.25" customHeight="1" thickBot="1" x14ac:dyDescent="0.25">
      <c r="B18" s="243" t="s">
        <v>170</v>
      </c>
      <c r="C18" s="180">
        <f>642+353</f>
        <v>995</v>
      </c>
      <c r="D18" s="242" t="s">
        <v>149</v>
      </c>
      <c r="F18" s="244" t="s">
        <v>171</v>
      </c>
      <c r="G18" s="107">
        <f>IF($Q$1=1,'Lower Carbon Power'!$C$6,'Lower Carbon Power'!$C$6)</f>
        <v>7.3619941104047115E-6</v>
      </c>
      <c r="H18" s="108">
        <f>'Lower Carbon Power'!$C$7</f>
        <v>4.8094999999999993E-5</v>
      </c>
      <c r="I18" s="245">
        <f t="shared" si="0"/>
        <v>6.5328767286063565</v>
      </c>
    </row>
    <row r="19" spans="1:9" ht="17.25" customHeight="1" thickTop="1" thickBot="1" x14ac:dyDescent="0.25">
      <c r="B19" s="243" t="s">
        <v>172</v>
      </c>
      <c r="C19" s="180">
        <f>227+472</f>
        <v>699</v>
      </c>
      <c r="D19" s="242" t="s">
        <v>149</v>
      </c>
      <c r="F19" s="244" t="s">
        <v>173</v>
      </c>
      <c r="G19" s="198">
        <v>0</v>
      </c>
      <c r="H19" s="108">
        <f>-SUM($C$39:$C$40)</f>
        <v>-4.9883889999999997</v>
      </c>
      <c r="I19" s="245">
        <f t="shared" si="0"/>
        <v>0</v>
      </c>
    </row>
    <row r="20" spans="1:9" ht="17.25" customHeight="1" thickTop="1" thickBot="1" x14ac:dyDescent="0.25">
      <c r="B20" s="243" t="s">
        <v>174</v>
      </c>
      <c r="C20" s="180">
        <f>260+234</f>
        <v>494</v>
      </c>
      <c r="D20" s="242" t="s">
        <v>149</v>
      </c>
      <c r="F20" s="178" t="str">
        <f>IF($Q$1=1,"PCI, HHV Basis","PCI, LHV Basis")</f>
        <v>PCI, HHV Basis</v>
      </c>
      <c r="G20" s="178">
        <f>SUM(G13:G19)</f>
        <v>11.004757659815798</v>
      </c>
      <c r="H20" s="179">
        <f>SUM(H13:H19)</f>
        <v>781.95131952914176</v>
      </c>
      <c r="I20" s="320">
        <f>IF(G20&gt;0,H20/G20,0)</f>
        <v>71.055750948924612</v>
      </c>
    </row>
    <row r="21" spans="1:9" ht="17.25" customHeight="1" thickTop="1" thickBot="1" x14ac:dyDescent="0.25">
      <c r="B21" s="243" t="s">
        <v>175</v>
      </c>
      <c r="C21" s="180">
        <f>44+161</f>
        <v>205</v>
      </c>
      <c r="D21" s="242" t="s">
        <v>149</v>
      </c>
      <c r="F21" s="365" t="str">
        <f>IF($Q$1=1,"*The PCI tool uses a higher heating value to align with existing financial and commercial practices. ","*Sensitivity calculations on a lower heating value basis are also included to allow for comparisons with other frameworks that have chosen a lower heating value basis.")</f>
        <v xml:space="preserve">*The PCI tool uses a higher heating value to align with existing financial and commercial practices. </v>
      </c>
      <c r="G21" s="365"/>
      <c r="H21" s="365"/>
      <c r="I21" s="365"/>
    </row>
    <row r="22" spans="1:9" ht="17.25" customHeight="1" thickTop="1" thickBot="1" x14ac:dyDescent="0.25">
      <c r="B22" s="243" t="s">
        <v>176</v>
      </c>
      <c r="C22" s="180">
        <f>114+225</f>
        <v>339</v>
      </c>
      <c r="D22" s="242" t="s">
        <v>149</v>
      </c>
      <c r="F22" s="365"/>
      <c r="G22" s="365"/>
      <c r="H22" s="365"/>
      <c r="I22" s="365"/>
    </row>
    <row r="23" spans="1:9" ht="17.25" customHeight="1" thickTop="1" x14ac:dyDescent="0.2">
      <c r="B23" s="75" t="s">
        <v>177</v>
      </c>
      <c r="C23" s="317"/>
      <c r="D23" s="76"/>
      <c r="F23" s="78"/>
      <c r="G23" s="78"/>
      <c r="H23" s="78"/>
      <c r="I23" s="78"/>
    </row>
    <row r="24" spans="1:9" ht="17.25" customHeight="1" thickBot="1" x14ac:dyDescent="0.25">
      <c r="B24" s="243" t="s">
        <v>178</v>
      </c>
      <c r="C24" s="180">
        <f>4637+6025+32+1</f>
        <v>10695</v>
      </c>
      <c r="D24" s="242" t="s">
        <v>155</v>
      </c>
    </row>
    <row r="25" spans="1:9" ht="17.25" customHeight="1" thickTop="1" thickBot="1" x14ac:dyDescent="0.25">
      <c r="B25" s="243" t="s">
        <v>179</v>
      </c>
      <c r="C25" s="180">
        <f>354+94</f>
        <v>448</v>
      </c>
      <c r="D25" s="242" t="s">
        <v>149</v>
      </c>
    </row>
    <row r="26" spans="1:9" ht="17.25" customHeight="1" thickTop="1" thickBot="1" x14ac:dyDescent="0.25">
      <c r="B26" s="243" t="s">
        <v>180</v>
      </c>
      <c r="C26" s="180">
        <f>22+153</f>
        <v>175</v>
      </c>
      <c r="D26" s="242" t="s">
        <v>149</v>
      </c>
    </row>
    <row r="27" spans="1:9" ht="17.25" customHeight="1" thickTop="1" thickBot="1" x14ac:dyDescent="0.25">
      <c r="B27" s="243" t="s">
        <v>181</v>
      </c>
      <c r="C27" s="180">
        <v>0</v>
      </c>
      <c r="D27" s="242" t="s">
        <v>155</v>
      </c>
      <c r="G27" s="40"/>
    </row>
    <row r="28" spans="1:9" ht="17.25" customHeight="1" thickTop="1" x14ac:dyDescent="0.2">
      <c r="B28" s="75" t="s">
        <v>182</v>
      </c>
      <c r="C28" s="317"/>
      <c r="D28" s="76"/>
    </row>
    <row r="29" spans="1:9" ht="38.25" customHeight="1" thickBot="1" x14ac:dyDescent="0.25">
      <c r="B29" s="172" t="s">
        <v>183</v>
      </c>
      <c r="C29" s="180">
        <v>117.4136140350877</v>
      </c>
      <c r="D29" s="246" t="s">
        <v>184</v>
      </c>
      <c r="F29" s="364"/>
      <c r="G29" s="364"/>
      <c r="H29" s="364"/>
      <c r="I29" s="364"/>
    </row>
    <row r="30" spans="1:9" ht="17.25" customHeight="1" thickTop="1" x14ac:dyDescent="0.2">
      <c r="B30" s="75" t="s">
        <v>169</v>
      </c>
      <c r="C30" s="317"/>
      <c r="D30" s="76"/>
      <c r="F30" s="364"/>
      <c r="G30" s="364"/>
      <c r="H30" s="364"/>
      <c r="I30" s="364"/>
    </row>
    <row r="31" spans="1:9" ht="17.25" customHeight="1" thickBot="1" x14ac:dyDescent="0.35">
      <c r="A31" s="346"/>
      <c r="B31" s="243" t="s">
        <v>505</v>
      </c>
      <c r="C31" s="180">
        <v>0</v>
      </c>
      <c r="D31" s="242" t="s">
        <v>185</v>
      </c>
      <c r="F31" s="364"/>
      <c r="G31" s="364"/>
      <c r="H31" s="364"/>
      <c r="I31" s="364"/>
    </row>
    <row r="32" spans="1:9" ht="17.25" customHeight="1" thickTop="1" thickBot="1" x14ac:dyDescent="0.35">
      <c r="A32" s="346"/>
      <c r="B32" s="243" t="s">
        <v>506</v>
      </c>
      <c r="C32" s="180">
        <v>0</v>
      </c>
      <c r="D32" s="242" t="s">
        <v>185</v>
      </c>
      <c r="F32" s="364"/>
      <c r="G32" s="364"/>
      <c r="H32" s="364"/>
      <c r="I32" s="364"/>
    </row>
    <row r="33" spans="1:9" ht="17.25" customHeight="1" thickTop="1" thickBot="1" x14ac:dyDescent="0.35">
      <c r="A33" s="346"/>
      <c r="B33" s="243" t="s">
        <v>509</v>
      </c>
      <c r="C33" s="180">
        <v>0</v>
      </c>
      <c r="D33" s="242" t="s">
        <v>185</v>
      </c>
      <c r="F33" s="364"/>
      <c r="G33" s="364"/>
      <c r="H33" s="364"/>
      <c r="I33" s="364"/>
    </row>
    <row r="34" spans="1:9" ht="17.25" customHeight="1" thickTop="1" x14ac:dyDescent="0.2">
      <c r="B34" s="75" t="s">
        <v>171</v>
      </c>
      <c r="C34" s="317"/>
      <c r="D34" s="76"/>
      <c r="F34" s="247"/>
      <c r="G34" s="245"/>
      <c r="H34" s="245"/>
      <c r="I34" s="245"/>
    </row>
    <row r="35" spans="1:9" ht="17.25" customHeight="1" thickBot="1" x14ac:dyDescent="0.25">
      <c r="B35" s="243" t="s">
        <v>186</v>
      </c>
      <c r="C35" s="180">
        <v>1328</v>
      </c>
      <c r="D35" s="242" t="s">
        <v>187</v>
      </c>
      <c r="F35" s="247"/>
      <c r="G35" s="245"/>
      <c r="H35" s="245"/>
      <c r="I35" s="245"/>
    </row>
    <row r="36" spans="1:9" ht="17.25" customHeight="1" thickTop="1" thickBot="1" x14ac:dyDescent="0.25">
      <c r="B36" s="243" t="s">
        <v>188</v>
      </c>
      <c r="C36" s="180">
        <v>717</v>
      </c>
      <c r="D36" s="242" t="s">
        <v>187</v>
      </c>
      <c r="F36" s="247"/>
      <c r="G36" s="245"/>
      <c r="H36" s="245"/>
      <c r="I36" s="245"/>
    </row>
    <row r="37" spans="1:9" ht="17.25" customHeight="1" thickTop="1" thickBot="1" x14ac:dyDescent="0.25">
      <c r="B37" s="243" t="s">
        <v>189</v>
      </c>
      <c r="C37" s="180">
        <v>0</v>
      </c>
      <c r="D37" s="242" t="s">
        <v>187</v>
      </c>
      <c r="F37" s="247"/>
      <c r="G37" s="245"/>
      <c r="H37" s="245"/>
      <c r="I37" s="245"/>
    </row>
    <row r="38" spans="1:9" ht="17.25" customHeight="1" thickTop="1" x14ac:dyDescent="0.2">
      <c r="B38" s="75" t="s">
        <v>173</v>
      </c>
      <c r="C38" s="317"/>
      <c r="D38" s="76"/>
      <c r="F38" s="247"/>
      <c r="G38" s="245"/>
      <c r="H38" s="245"/>
      <c r="I38" s="245"/>
    </row>
    <row r="39" spans="1:9" ht="17.25" customHeight="1" thickBot="1" x14ac:dyDescent="0.35">
      <c r="B39" s="77" t="s">
        <v>190</v>
      </c>
      <c r="C39" s="180">
        <v>0</v>
      </c>
      <c r="D39" s="242" t="s">
        <v>191</v>
      </c>
      <c r="F39" s="247"/>
      <c r="G39" s="245"/>
      <c r="H39" s="245"/>
      <c r="I39" s="245"/>
    </row>
    <row r="40" spans="1:9" ht="18.75" customHeight="1" thickTop="1" thickBot="1" x14ac:dyDescent="0.35">
      <c r="B40" s="243" t="s">
        <v>192</v>
      </c>
      <c r="C40" s="200">
        <v>4.9883889999999997</v>
      </c>
      <c r="D40" s="242" t="s">
        <v>191</v>
      </c>
      <c r="F40" s="247"/>
      <c r="G40" s="245"/>
      <c r="H40" s="245"/>
      <c r="I40" s="245"/>
    </row>
    <row r="41" spans="1:9" ht="13.5" hidden="1" thickTop="1" x14ac:dyDescent="0.2">
      <c r="B41" s="248"/>
      <c r="C41" s="244"/>
      <c r="D41" s="241"/>
      <c r="F41" s="79"/>
      <c r="G41" s="53"/>
      <c r="H41" s="80"/>
      <c r="I41" s="81"/>
    </row>
    <row r="42" spans="1:9" ht="61.5" customHeight="1" thickTop="1" x14ac:dyDescent="0.2">
      <c r="B42" s="363" t="s">
        <v>193</v>
      </c>
      <c r="C42" s="363"/>
      <c r="D42" s="363"/>
    </row>
  </sheetData>
  <sheetProtection selectLockedCells="1"/>
  <mergeCells count="12">
    <mergeCell ref="F8:I8"/>
    <mergeCell ref="F7:I7"/>
    <mergeCell ref="B42:D42"/>
    <mergeCell ref="F29:F33"/>
    <mergeCell ref="G29:G33"/>
    <mergeCell ref="H29:H33"/>
    <mergeCell ref="I29:I33"/>
    <mergeCell ref="F21:I22"/>
    <mergeCell ref="F9:F12"/>
    <mergeCell ref="G9:G12"/>
    <mergeCell ref="H9:H12"/>
    <mergeCell ref="I9:I12"/>
  </mergeCells>
  <phoneticPr fontId="3" type="noConversion"/>
  <pageMargins left="0.25" right="0.25" top="0.75" bottom="0.75" header="0.3" footer="0.3"/>
  <pageSetup scale="40" orientation="landscape" horizontalDpi="360" verticalDpi="360" r:id="rId1"/>
  <drawing r:id="rId2"/>
  <legacyDrawing r:id="rId3"/>
  <mc:AlternateContent xmlns:mc="http://schemas.openxmlformats.org/markup-compatibility/2006">
    <mc:Choice Requires="x14">
      <controls>
        <mc:AlternateContent xmlns:mc="http://schemas.openxmlformats.org/markup-compatibility/2006">
          <mc:Choice Requires="x14">
            <control shapeId="25635" r:id="rId4" name="Option Button 35">
              <controlPr defaultSize="0" autoFill="0" autoLine="0" autoPict="0">
                <anchor moveWithCells="1">
                  <from>
                    <xdr:col>8</xdr:col>
                    <xdr:colOff>66675</xdr:colOff>
                    <xdr:row>2</xdr:row>
                    <xdr:rowOff>66675</xdr:rowOff>
                  </from>
                  <to>
                    <xdr:col>8</xdr:col>
                    <xdr:colOff>333375</xdr:colOff>
                    <xdr:row>2</xdr:row>
                    <xdr:rowOff>295275</xdr:rowOff>
                  </to>
                </anchor>
              </controlPr>
            </control>
          </mc:Choice>
        </mc:AlternateContent>
        <mc:AlternateContent xmlns:mc="http://schemas.openxmlformats.org/markup-compatibility/2006">
          <mc:Choice Requires="x14">
            <control shapeId="25636" r:id="rId5" name="Option Button 36">
              <controlPr defaultSize="0" autoFill="0" autoLine="0" autoPict="0">
                <anchor moveWithCells="1">
                  <from>
                    <xdr:col>9</xdr:col>
                    <xdr:colOff>428625</xdr:colOff>
                    <xdr:row>2</xdr:row>
                    <xdr:rowOff>66675</xdr:rowOff>
                  </from>
                  <to>
                    <xdr:col>10</xdr:col>
                    <xdr:colOff>38100</xdr:colOff>
                    <xdr:row>2</xdr:row>
                    <xdr:rowOff>295275</xdr:rowOff>
                  </to>
                </anchor>
              </controlPr>
            </control>
          </mc:Choice>
        </mc:AlternateContent>
        <mc:AlternateContent xmlns:mc="http://schemas.openxmlformats.org/markup-compatibility/2006">
          <mc:Choice Requires="x14">
            <control shapeId="25639" r:id="rId6" name="Check Box 39">
              <controlPr defaultSize="0" autoFill="0" autoLine="0" autoPict="0">
                <anchor moveWithCells="1">
                  <from>
                    <xdr:col>0</xdr:col>
                    <xdr:colOff>523875</xdr:colOff>
                    <xdr:row>2</xdr:row>
                    <xdr:rowOff>38100</xdr:rowOff>
                  </from>
                  <to>
                    <xdr:col>1</xdr:col>
                    <xdr:colOff>200025</xdr:colOff>
                    <xdr:row>2</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32758-CA6B-4114-BD2B-149E5E9AD021}">
  <sheetPr codeName="Sheet10">
    <tabColor theme="8" tint="0.79998168889431442"/>
  </sheetPr>
  <dimension ref="B1:F23"/>
  <sheetViews>
    <sheetView showGridLines="0" zoomScaleNormal="100" workbookViewId="0">
      <pane ySplit="1" topLeftCell="A2" activePane="bottomLeft" state="frozen"/>
      <selection activeCell="B1" sqref="B1"/>
      <selection pane="bottomLeft" activeCell="D41" sqref="D41"/>
    </sheetView>
  </sheetViews>
  <sheetFormatPr defaultColWidth="8.85546875" defaultRowHeight="14.25" x14ac:dyDescent="0.2"/>
  <cols>
    <col min="1" max="1" width="11.140625" style="82" customWidth="1"/>
    <col min="2" max="2" width="59.140625" style="82" customWidth="1"/>
    <col min="3" max="3" width="21.140625" style="82" customWidth="1"/>
    <col min="4" max="4" width="10.42578125" style="82" customWidth="1"/>
    <col min="5" max="5" width="28.42578125" style="82" customWidth="1"/>
    <col min="6" max="6" width="70.85546875" style="82" customWidth="1"/>
    <col min="7" max="7" width="9.140625" style="82" customWidth="1"/>
    <col min="8" max="8" width="23.140625" style="82" bestFit="1" customWidth="1"/>
    <col min="9" max="9" width="26.42578125" style="82" bestFit="1" customWidth="1"/>
    <col min="10" max="10" width="45.140625" style="82" bestFit="1" customWidth="1"/>
    <col min="11" max="11" width="36.42578125" style="82" bestFit="1" customWidth="1"/>
    <col min="12" max="16384" width="8.85546875" style="82"/>
  </cols>
  <sheetData>
    <row r="1" spans="2:6" ht="99.75" customHeight="1" x14ac:dyDescent="0.2"/>
    <row r="2" spans="2:6" s="222" customFormat="1" ht="42" customHeight="1" x14ac:dyDescent="0.4">
      <c r="B2" s="6" t="s">
        <v>194</v>
      </c>
      <c r="D2" s="94" t="s">
        <v>195</v>
      </c>
      <c r="F2" s="69" t="b">
        <v>0</v>
      </c>
    </row>
    <row r="3" spans="2:6" s="222" customFormat="1" ht="12.75" x14ac:dyDescent="0.2"/>
    <row r="4" spans="2:6" s="222" customFormat="1" ht="12.75" x14ac:dyDescent="0.2">
      <c r="B4" s="222" t="s">
        <v>196</v>
      </c>
    </row>
    <row r="5" spans="2:6" s="222" customFormat="1" ht="12.75" x14ac:dyDescent="0.2"/>
    <row r="6" spans="2:6" s="222" customFormat="1" ht="12.75" x14ac:dyDescent="0.2">
      <c r="B6" s="95" t="s">
        <v>197</v>
      </c>
      <c r="C6" s="249"/>
      <c r="D6" s="250"/>
      <c r="E6" s="250"/>
      <c r="F6" s="250"/>
    </row>
    <row r="7" spans="2:6" s="222" customFormat="1" ht="13.5" thickBot="1" x14ac:dyDescent="0.25">
      <c r="B7" s="251"/>
    </row>
    <row r="8" spans="2:6" s="222" customFormat="1" thickTop="1" thickBot="1" x14ac:dyDescent="0.25">
      <c r="B8" s="252" t="s">
        <v>198</v>
      </c>
      <c r="C8" s="101">
        <v>1800</v>
      </c>
      <c r="D8" s="222" t="s">
        <v>199</v>
      </c>
    </row>
    <row r="9" spans="2:6" s="222" customFormat="1" ht="13.5" thickTop="1" x14ac:dyDescent="0.2">
      <c r="B9" s="253"/>
    </row>
    <row r="10" spans="2:6" s="222" customFormat="1" ht="39" thickBot="1" x14ac:dyDescent="0.25">
      <c r="B10" s="96" t="s">
        <v>200</v>
      </c>
      <c r="C10" s="97" t="s">
        <v>201</v>
      </c>
      <c r="D10" s="98" t="s">
        <v>149</v>
      </c>
      <c r="E10" s="254"/>
    </row>
    <row r="11" spans="2:6" s="222" customFormat="1" ht="13.5" thickTop="1" x14ac:dyDescent="0.2">
      <c r="B11" s="244" t="s">
        <v>170</v>
      </c>
      <c r="C11" s="100">
        <v>0.30345710599999998</v>
      </c>
      <c r="D11" s="255">
        <f>$C$8*C11</f>
        <v>546.22279079999998</v>
      </c>
      <c r="E11" s="240"/>
    </row>
    <row r="12" spans="2:6" s="222" customFormat="1" ht="12.75" x14ac:dyDescent="0.2">
      <c r="B12" s="244" t="s">
        <v>172</v>
      </c>
      <c r="C12" s="100">
        <v>0.34571062699999999</v>
      </c>
      <c r="D12" s="255">
        <f>$C$8*C12</f>
        <v>622.27912860000004</v>
      </c>
      <c r="E12" s="240"/>
    </row>
    <row r="13" spans="2:6" s="222" customFormat="1" ht="12.75" x14ac:dyDescent="0.2">
      <c r="B13" s="244" t="s">
        <v>174</v>
      </c>
      <c r="C13" s="100">
        <v>6.0179257E-2</v>
      </c>
      <c r="D13" s="255">
        <f>$C$8*C13</f>
        <v>108.3226626</v>
      </c>
      <c r="E13" s="240"/>
    </row>
    <row r="14" spans="2:6" s="222" customFormat="1" ht="12.75" x14ac:dyDescent="0.2">
      <c r="B14" s="244" t="s">
        <v>175</v>
      </c>
      <c r="C14" s="100">
        <v>7.4263763999999996E-2</v>
      </c>
      <c r="D14" s="255">
        <f>$C$8*C14</f>
        <v>133.6747752</v>
      </c>
      <c r="E14" s="240"/>
    </row>
    <row r="15" spans="2:6" s="222" customFormat="1" ht="12.75" x14ac:dyDescent="0.2">
      <c r="B15" s="256" t="s">
        <v>202</v>
      </c>
      <c r="C15" s="100">
        <v>0.21638924500000001</v>
      </c>
      <c r="D15" s="255">
        <f>$C$8*C15</f>
        <v>389.50064100000003</v>
      </c>
      <c r="E15" s="240"/>
    </row>
    <row r="16" spans="2:6" s="222" customFormat="1" ht="12.75" x14ac:dyDescent="0.2"/>
    <row r="17" spans="2:3" s="222" customFormat="1" ht="12.75" x14ac:dyDescent="0.2">
      <c r="B17" s="99" t="s">
        <v>203</v>
      </c>
    </row>
    <row r="18" spans="2:3" s="222" customFormat="1" ht="12.75" x14ac:dyDescent="0.2"/>
    <row r="19" spans="2:3" s="222" customFormat="1" ht="12.75" x14ac:dyDescent="0.2">
      <c r="C19" s="257"/>
    </row>
    <row r="20" spans="2:3" x14ac:dyDescent="0.2">
      <c r="C20" s="342"/>
    </row>
    <row r="21" spans="2:3" x14ac:dyDescent="0.2">
      <c r="C21" s="342"/>
    </row>
    <row r="22" spans="2:3" x14ac:dyDescent="0.2">
      <c r="C22" s="342"/>
    </row>
    <row r="23" spans="2:3" x14ac:dyDescent="0.2">
      <c r="C23" s="342"/>
    </row>
  </sheetData>
  <sheetProtection selectLockedCells="1"/>
  <pageMargins left="0.25" right="0.25" top="0.75" bottom="0.75" header="0.3" footer="0.3"/>
  <pageSetup scale="50" orientation="landscape" horizontalDpi="360" verticalDpi="360"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ltText="">
                <anchor moveWithCells="1">
                  <from>
                    <xdr:col>2</xdr:col>
                    <xdr:colOff>1276350</xdr:colOff>
                    <xdr:row>1</xdr:row>
                    <xdr:rowOff>285750</xdr:rowOff>
                  </from>
                  <to>
                    <xdr:col>3</xdr:col>
                    <xdr:colOff>9525</xdr:colOff>
                    <xdr:row>1</xdr:row>
                    <xdr:rowOff>495300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9063E-F87E-4BD6-825C-9021487180C4}">
  <sheetPr codeName="Sheet11">
    <tabColor rgb="FFFFFF99"/>
  </sheetPr>
  <dimension ref="B1:J109"/>
  <sheetViews>
    <sheetView showGridLines="0" zoomScale="66" zoomScaleNormal="100" workbookViewId="0">
      <pane ySplit="1" topLeftCell="A2" activePane="bottomLeft" state="frozen"/>
      <selection activeCell="B1" sqref="B1"/>
      <selection pane="bottomLeft"/>
    </sheetView>
  </sheetViews>
  <sheetFormatPr defaultColWidth="9.140625" defaultRowHeight="14.25" x14ac:dyDescent="0.2"/>
  <cols>
    <col min="1" max="1" width="9.140625" style="82" customWidth="1"/>
    <col min="2" max="2" width="9.85546875" style="82" customWidth="1"/>
    <col min="3" max="3" width="62.85546875" style="82" customWidth="1"/>
    <col min="4" max="4" width="25.140625" style="82" customWidth="1"/>
    <col min="5" max="5" width="72.85546875" style="82" customWidth="1"/>
    <col min="6" max="7" width="25.140625" style="82" customWidth="1"/>
    <col min="8" max="8" width="33.42578125" style="82" customWidth="1"/>
    <col min="9" max="16384" width="9.140625" style="82"/>
  </cols>
  <sheetData>
    <row r="1" spans="2:10" ht="99.75" customHeight="1" x14ac:dyDescent="0.2"/>
    <row r="2" spans="2:10" ht="35.25" customHeight="1" x14ac:dyDescent="0.35">
      <c r="B2" s="112" t="s">
        <v>204</v>
      </c>
      <c r="F2" s="167"/>
      <c r="G2" s="167"/>
      <c r="H2" s="167"/>
    </row>
    <row r="3" spans="2:10" ht="18" x14ac:dyDescent="0.2">
      <c r="B3" s="113" t="s">
        <v>139</v>
      </c>
    </row>
    <row r="4" spans="2:10" ht="18" x14ac:dyDescent="0.2">
      <c r="B4" s="113"/>
    </row>
    <row r="5" spans="2:10" x14ac:dyDescent="0.2">
      <c r="B5" s="27" t="s">
        <v>205</v>
      </c>
    </row>
    <row r="6" spans="2:10" x14ac:dyDescent="0.2">
      <c r="B6" s="222"/>
    </row>
    <row r="7" spans="2:10" ht="27" thickBot="1" x14ac:dyDescent="0.45">
      <c r="B7" s="114" t="s">
        <v>206</v>
      </c>
      <c r="C7" s="114"/>
      <c r="D7" s="114"/>
      <c r="E7" s="114"/>
      <c r="F7" s="114"/>
      <c r="G7" s="114"/>
      <c r="H7" s="114"/>
    </row>
    <row r="8" spans="2:10" ht="29.25" x14ac:dyDescent="0.25">
      <c r="B8" s="115"/>
      <c r="C8" s="116" t="s">
        <v>54</v>
      </c>
      <c r="D8" s="117" t="str">
        <f>IF(Dashboard!Q2=TRUE,"Default Chevron Value - Active","Default Chevron Value - Inactive")</f>
        <v>Default Chevron Value - Active</v>
      </c>
      <c r="E8" s="118" t="s">
        <v>207</v>
      </c>
      <c r="F8" s="117" t="str">
        <f>IF(Dashboard!Q2=TRUE,"Custom Value - Inactive","Custom Value - Active")</f>
        <v>Custom Value - Inactive</v>
      </c>
      <c r="G8" s="117" t="s">
        <v>208</v>
      </c>
      <c r="H8" s="117"/>
    </row>
    <row r="9" spans="2:10" ht="18" x14ac:dyDescent="0.25">
      <c r="B9" s="119" t="s">
        <v>209</v>
      </c>
      <c r="C9" s="119"/>
      <c r="D9" s="119"/>
      <c r="E9" s="155"/>
      <c r="F9" s="119"/>
      <c r="G9" s="119"/>
      <c r="H9" s="119"/>
    </row>
    <row r="10" spans="2:10" x14ac:dyDescent="0.2">
      <c r="C10" s="120" t="s">
        <v>210</v>
      </c>
      <c r="D10" s="121">
        <v>365</v>
      </c>
      <c r="E10" s="156" t="s">
        <v>211</v>
      </c>
      <c r="F10" s="121">
        <v>365</v>
      </c>
      <c r="G10" s="367"/>
      <c r="H10" s="367"/>
    </row>
    <row r="11" spans="2:10" s="129" customFormat="1" x14ac:dyDescent="0.25">
      <c r="C11" s="123" t="s">
        <v>212</v>
      </c>
      <c r="D11" s="121">
        <v>947.81700000000001</v>
      </c>
      <c r="E11" s="156" t="s">
        <v>213</v>
      </c>
      <c r="F11" s="121">
        <v>947.81700000000001</v>
      </c>
      <c r="G11" s="367"/>
      <c r="H11" s="367"/>
    </row>
    <row r="12" spans="2:10" s="129" customFormat="1" x14ac:dyDescent="0.25">
      <c r="C12" s="123" t="s">
        <v>214</v>
      </c>
      <c r="D12" s="323">
        <f>1/(6120000000)*10^6</f>
        <v>1.6339869281045753E-4</v>
      </c>
      <c r="E12" s="324" t="s">
        <v>215</v>
      </c>
      <c r="F12" s="323">
        <v>1.6339869281045753E-4</v>
      </c>
      <c r="G12" s="318"/>
      <c r="H12" s="318"/>
    </row>
    <row r="13" spans="2:10" s="129" customFormat="1" x14ac:dyDescent="0.25">
      <c r="C13" s="123" t="s">
        <v>216</v>
      </c>
      <c r="D13" s="131">
        <v>0.95</v>
      </c>
      <c r="E13" s="324" t="s">
        <v>217</v>
      </c>
      <c r="F13" s="131">
        <v>0.95</v>
      </c>
      <c r="G13" s="318"/>
      <c r="H13" s="318"/>
    </row>
    <row r="14" spans="2:10" s="129" customFormat="1" x14ac:dyDescent="0.25">
      <c r="C14" s="123" t="s">
        <v>218</v>
      </c>
      <c r="D14" s="131">
        <v>0.9</v>
      </c>
      <c r="E14" s="324" t="s">
        <v>219</v>
      </c>
      <c r="F14" s="131">
        <v>0.9</v>
      </c>
      <c r="G14" s="318"/>
      <c r="H14" s="318"/>
    </row>
    <row r="15" spans="2:10" ht="18" x14ac:dyDescent="0.25">
      <c r="B15" s="119" t="s">
        <v>160</v>
      </c>
      <c r="C15" s="119"/>
      <c r="D15" s="122"/>
      <c r="E15" s="155"/>
      <c r="F15" s="122"/>
      <c r="G15" s="119"/>
      <c r="H15" s="119"/>
    </row>
    <row r="16" spans="2:10" ht="45" customHeight="1" x14ac:dyDescent="0.2">
      <c r="C16" s="123" t="s">
        <v>220</v>
      </c>
      <c r="D16" s="124">
        <v>1.0629999999999999</v>
      </c>
      <c r="E16" s="220" t="s">
        <v>221</v>
      </c>
      <c r="F16" s="125">
        <v>1.0629999999999999</v>
      </c>
      <c r="G16" s="369"/>
      <c r="H16" s="369"/>
      <c r="J16" s="341"/>
    </row>
    <row r="17" spans="2:9" ht="18" x14ac:dyDescent="0.25">
      <c r="B17" s="119" t="s">
        <v>222</v>
      </c>
      <c r="C17" s="119"/>
      <c r="D17" s="119"/>
      <c r="E17" s="155"/>
      <c r="F17" s="122"/>
      <c r="G17" s="119"/>
      <c r="H17" s="119"/>
    </row>
    <row r="18" spans="2:9" ht="57" customHeight="1" x14ac:dyDescent="0.2">
      <c r="C18" s="123" t="s">
        <v>223</v>
      </c>
      <c r="D18" s="126">
        <v>1037</v>
      </c>
      <c r="E18" s="214" t="s">
        <v>224</v>
      </c>
      <c r="F18" s="126">
        <v>1037</v>
      </c>
      <c r="G18" s="367"/>
      <c r="H18" s="367"/>
      <c r="I18" s="214"/>
    </row>
    <row r="19" spans="2:9" ht="48" customHeight="1" x14ac:dyDescent="0.2">
      <c r="C19" s="123" t="s">
        <v>225</v>
      </c>
      <c r="D19" s="126">
        <v>933</v>
      </c>
      <c r="E19" s="160" t="s">
        <v>226</v>
      </c>
      <c r="F19" s="126">
        <v>933</v>
      </c>
      <c r="G19" s="367"/>
      <c r="H19" s="367"/>
    </row>
    <row r="20" spans="2:9" ht="48" customHeight="1" x14ac:dyDescent="0.2">
      <c r="C20" s="123" t="s">
        <v>227</v>
      </c>
      <c r="D20" s="126">
        <v>6</v>
      </c>
      <c r="E20" s="157" t="s">
        <v>213</v>
      </c>
      <c r="F20" s="126">
        <v>6</v>
      </c>
      <c r="G20" s="367"/>
      <c r="H20" s="367"/>
    </row>
    <row r="21" spans="2:9" ht="18" x14ac:dyDescent="0.25">
      <c r="B21" s="119" t="s">
        <v>228</v>
      </c>
      <c r="C21" s="119"/>
      <c r="D21" s="127"/>
      <c r="E21" s="158"/>
      <c r="F21" s="127"/>
      <c r="G21" s="127"/>
      <c r="H21" s="127"/>
    </row>
    <row r="22" spans="2:9" s="129" customFormat="1" ht="57" x14ac:dyDescent="0.25">
      <c r="C22" s="123" t="s">
        <v>229</v>
      </c>
      <c r="D22" s="128">
        <f>Factors!$F$103</f>
        <v>3617400</v>
      </c>
      <c r="E22" s="110" t="s">
        <v>230</v>
      </c>
      <c r="F22" s="128">
        <f>Factors!$F$103</f>
        <v>3617400</v>
      </c>
      <c r="G22" s="367"/>
      <c r="H22" s="367"/>
    </row>
    <row r="23" spans="2:9" s="129" customFormat="1" ht="57" x14ac:dyDescent="0.25">
      <c r="C23" s="123" t="s">
        <v>231</v>
      </c>
      <c r="D23" s="128">
        <f>Factors!$H$103</f>
        <v>3434800</v>
      </c>
      <c r="E23" s="110" t="s">
        <v>232</v>
      </c>
      <c r="F23" s="128">
        <f>Factors!$H$103</f>
        <v>3434800</v>
      </c>
      <c r="G23" s="367"/>
      <c r="H23" s="367"/>
    </row>
    <row r="24" spans="2:9" ht="18" x14ac:dyDescent="0.25">
      <c r="B24" s="119" t="s">
        <v>169</v>
      </c>
      <c r="C24" s="119"/>
      <c r="D24" s="127"/>
      <c r="E24" s="158"/>
      <c r="F24" s="127"/>
      <c r="G24" s="127"/>
      <c r="H24" s="127"/>
    </row>
    <row r="25" spans="2:9" x14ac:dyDescent="0.2">
      <c r="C25" s="129" t="s">
        <v>233</v>
      </c>
      <c r="D25" s="130">
        <v>343</v>
      </c>
      <c r="E25" s="123" t="s">
        <v>234</v>
      </c>
      <c r="F25" s="130">
        <v>343</v>
      </c>
      <c r="G25" s="367"/>
      <c r="H25" s="367"/>
    </row>
    <row r="26" spans="2:9" x14ac:dyDescent="0.2">
      <c r="C26" s="129" t="s">
        <v>235</v>
      </c>
      <c r="D26" s="130">
        <v>2.6</v>
      </c>
      <c r="E26" s="123" t="s">
        <v>234</v>
      </c>
      <c r="F26" s="130">
        <v>2.6</v>
      </c>
      <c r="G26" s="367"/>
      <c r="H26" s="367"/>
    </row>
    <row r="27" spans="2:9" x14ac:dyDescent="0.2">
      <c r="C27" s="129" t="s">
        <v>236</v>
      </c>
      <c r="D27" s="131">
        <f>290/343</f>
        <v>0.84548104956268222</v>
      </c>
      <c r="E27" s="123" t="s">
        <v>234</v>
      </c>
      <c r="F27" s="131">
        <f>290/343</f>
        <v>0.84548104956268222</v>
      </c>
      <c r="G27" s="132"/>
      <c r="H27" s="132"/>
    </row>
    <row r="28" spans="2:9" ht="18" x14ac:dyDescent="0.25">
      <c r="B28" s="119" t="s">
        <v>171</v>
      </c>
      <c r="C28" s="119"/>
      <c r="D28" s="127"/>
      <c r="E28" s="158"/>
      <c r="F28" s="133"/>
      <c r="G28" s="127"/>
      <c r="H28" s="127"/>
    </row>
    <row r="29" spans="2:9" x14ac:dyDescent="0.2">
      <c r="C29" s="123" t="s">
        <v>237</v>
      </c>
      <c r="D29" s="134">
        <v>277.77800000000002</v>
      </c>
      <c r="E29" s="170" t="s">
        <v>213</v>
      </c>
      <c r="F29" s="134">
        <v>277.77800000000002</v>
      </c>
      <c r="G29" s="367"/>
      <c r="H29" s="367"/>
    </row>
    <row r="30" spans="2:9" x14ac:dyDescent="0.2">
      <c r="E30" s="120"/>
    </row>
    <row r="31" spans="2:9" x14ac:dyDescent="0.2">
      <c r="E31" s="120"/>
    </row>
    <row r="32" spans="2:9" ht="27" thickBot="1" x14ac:dyDescent="0.45">
      <c r="B32" s="114" t="s">
        <v>238</v>
      </c>
      <c r="C32" s="114"/>
      <c r="D32" s="114"/>
      <c r="E32" s="114"/>
      <c r="F32" s="114"/>
      <c r="G32" s="114"/>
      <c r="H32" s="114"/>
    </row>
    <row r="33" spans="2:8" ht="15" customHeight="1" x14ac:dyDescent="0.4">
      <c r="B33" s="135"/>
      <c r="C33" s="135"/>
      <c r="D33" s="135"/>
      <c r="E33" s="135"/>
      <c r="F33" s="135"/>
      <c r="G33" s="135"/>
      <c r="H33" s="135"/>
    </row>
    <row r="34" spans="2:8" ht="15" x14ac:dyDescent="0.25">
      <c r="B34" s="136"/>
      <c r="C34" s="137" t="s">
        <v>54</v>
      </c>
      <c r="D34" s="137" t="s">
        <v>239</v>
      </c>
      <c r="E34" s="159"/>
      <c r="F34" s="137" t="s">
        <v>240</v>
      </c>
      <c r="G34" s="138" t="s">
        <v>208</v>
      </c>
      <c r="H34" s="138"/>
    </row>
    <row r="35" spans="2:8" ht="18" x14ac:dyDescent="0.25">
      <c r="B35" s="119" t="s">
        <v>160</v>
      </c>
      <c r="C35" s="119"/>
      <c r="D35" s="119"/>
      <c r="E35" s="155"/>
      <c r="F35" s="119"/>
      <c r="G35" s="119"/>
      <c r="H35" s="119"/>
    </row>
    <row r="36" spans="2:8" ht="23.25" x14ac:dyDescent="0.35">
      <c r="B36" s="139"/>
      <c r="C36" s="140" t="s">
        <v>241</v>
      </c>
      <c r="D36" s="141"/>
      <c r="E36" s="140"/>
      <c r="F36" s="141"/>
      <c r="G36" s="141"/>
      <c r="H36" s="140"/>
    </row>
    <row r="37" spans="2:8" x14ac:dyDescent="0.2">
      <c r="C37" s="123" t="s">
        <v>242</v>
      </c>
      <c r="D37" s="142">
        <v>46</v>
      </c>
      <c r="E37" s="160" t="s">
        <v>243</v>
      </c>
      <c r="F37" s="142">
        <v>46</v>
      </c>
      <c r="G37" s="368"/>
      <c r="H37" s="368"/>
    </row>
    <row r="38" spans="2:8" x14ac:dyDescent="0.2">
      <c r="C38" s="123" t="s">
        <v>244</v>
      </c>
      <c r="D38" s="142">
        <v>33</v>
      </c>
      <c r="E38" s="160" t="s">
        <v>243</v>
      </c>
      <c r="F38" s="142">
        <v>33</v>
      </c>
      <c r="G38" s="368"/>
      <c r="H38" s="368"/>
    </row>
    <row r="39" spans="2:8" x14ac:dyDescent="0.2">
      <c r="C39" s="123" t="s">
        <v>245</v>
      </c>
      <c r="D39" s="142">
        <v>9.5</v>
      </c>
      <c r="E39" s="160" t="s">
        <v>243</v>
      </c>
      <c r="F39" s="142">
        <v>9.5</v>
      </c>
      <c r="G39" s="368"/>
      <c r="H39" s="368"/>
    </row>
    <row r="40" spans="2:8" x14ac:dyDescent="0.2">
      <c r="E40" s="120"/>
    </row>
    <row r="41" spans="2:8" ht="18" x14ac:dyDescent="0.25">
      <c r="B41" s="119" t="s">
        <v>222</v>
      </c>
      <c r="C41" s="119"/>
      <c r="D41" s="119"/>
      <c r="E41" s="155"/>
      <c r="F41" s="119"/>
      <c r="G41" s="119"/>
      <c r="H41" s="119"/>
    </row>
    <row r="42" spans="2:8" x14ac:dyDescent="0.2">
      <c r="C42" s="141" t="s">
        <v>246</v>
      </c>
      <c r="D42" s="141"/>
      <c r="E42" s="140"/>
      <c r="F42" s="140"/>
      <c r="G42" s="140"/>
    </row>
    <row r="43" spans="2:8" x14ac:dyDescent="0.2">
      <c r="C43" s="123" t="s">
        <v>247</v>
      </c>
      <c r="D43" s="121">
        <f>IF(Dashboard!C10&gt;0,Dashboard!C12*Dashboard!C10/(Dashboard!C10-Dashboard!C11),0)</f>
        <v>28.276217123670961</v>
      </c>
      <c r="E43" s="109" t="s">
        <v>248</v>
      </c>
      <c r="F43" s="121">
        <f>IF(Dashboard!C10&gt;0,Dashboard!C12*Dashboard!C10/(Dashboard!C10-Dashboard!C11),0)</f>
        <v>28.276217123670961</v>
      </c>
      <c r="G43" s="367"/>
      <c r="H43" s="367"/>
    </row>
    <row r="44" spans="2:8" x14ac:dyDescent="0.2">
      <c r="C44" s="123" t="s">
        <v>249</v>
      </c>
      <c r="D44" s="130">
        <v>67</v>
      </c>
      <c r="E44" s="109" t="s">
        <v>250</v>
      </c>
      <c r="F44" s="130">
        <v>67</v>
      </c>
      <c r="G44" s="367"/>
      <c r="H44" s="367"/>
    </row>
    <row r="45" spans="2:8" x14ac:dyDescent="0.2">
      <c r="C45" s="123" t="s">
        <v>251</v>
      </c>
      <c r="D45" s="130">
        <v>40</v>
      </c>
      <c r="E45" s="109" t="s">
        <v>250</v>
      </c>
      <c r="F45" s="130">
        <v>40</v>
      </c>
      <c r="G45" s="367"/>
      <c r="H45" s="367"/>
    </row>
    <row r="46" spans="2:8" x14ac:dyDescent="0.2">
      <c r="C46" s="123" t="s">
        <v>252</v>
      </c>
      <c r="D46" s="130">
        <v>22</v>
      </c>
      <c r="E46" s="205" t="s">
        <v>250</v>
      </c>
      <c r="F46" s="130">
        <v>22</v>
      </c>
      <c r="G46" s="367"/>
      <c r="H46" s="367"/>
    </row>
    <row r="47" spans="2:8" ht="28.5" x14ac:dyDescent="0.2">
      <c r="C47" s="123" t="s">
        <v>253</v>
      </c>
      <c r="D47" s="162">
        <v>5.2954800000000003E-2</v>
      </c>
      <c r="E47" s="109" t="s">
        <v>254</v>
      </c>
      <c r="F47" s="162">
        <v>5.2954800000000003E-2</v>
      </c>
      <c r="G47" s="367"/>
      <c r="H47" s="367"/>
    </row>
    <row r="48" spans="2:8" x14ac:dyDescent="0.2">
      <c r="D48" s="143"/>
      <c r="E48" s="120"/>
    </row>
    <row r="49" spans="2:8" ht="18" x14ac:dyDescent="0.25">
      <c r="B49" s="119" t="s">
        <v>228</v>
      </c>
      <c r="C49" s="119"/>
      <c r="D49" s="122"/>
      <c r="E49" s="155"/>
      <c r="F49" s="119"/>
      <c r="G49" s="119"/>
      <c r="H49" s="119"/>
    </row>
    <row r="50" spans="2:8" x14ac:dyDescent="0.2">
      <c r="C50" s="123" t="s">
        <v>255</v>
      </c>
      <c r="D50" s="130">
        <v>9.5</v>
      </c>
      <c r="E50" s="109" t="s">
        <v>243</v>
      </c>
      <c r="F50" s="130">
        <v>9.5</v>
      </c>
      <c r="G50" s="368"/>
      <c r="H50" s="368"/>
    </row>
    <row r="51" spans="2:8" ht="42.75" x14ac:dyDescent="0.2">
      <c r="C51" s="120" t="s">
        <v>256</v>
      </c>
      <c r="D51" s="165">
        <v>6.4553799999999995E-2</v>
      </c>
      <c r="E51" s="109" t="s">
        <v>257</v>
      </c>
      <c r="F51" s="165">
        <v>6.4553799999999995E-2</v>
      </c>
      <c r="G51" s="368"/>
      <c r="H51" s="368"/>
    </row>
    <row r="52" spans="2:8" x14ac:dyDescent="0.2">
      <c r="C52" s="120"/>
      <c r="D52" s="143"/>
      <c r="E52" s="120"/>
    </row>
    <row r="53" spans="2:8" ht="18" x14ac:dyDescent="0.25">
      <c r="B53" s="119" t="s">
        <v>169</v>
      </c>
      <c r="C53" s="119"/>
      <c r="D53" s="122"/>
      <c r="E53" s="155"/>
      <c r="F53" s="119"/>
      <c r="G53" s="119"/>
      <c r="H53" s="119"/>
    </row>
    <row r="54" spans="2:8" ht="80.099999999999994" customHeight="1" x14ac:dyDescent="0.2">
      <c r="C54" s="129" t="s">
        <v>510</v>
      </c>
      <c r="D54" s="130">
        <v>9.1999999999999993</v>
      </c>
      <c r="E54" s="111" t="s">
        <v>258</v>
      </c>
      <c r="F54" s="130">
        <v>9.1999999999999993</v>
      </c>
      <c r="G54" s="368"/>
      <c r="H54" s="368"/>
    </row>
    <row r="55" spans="2:8" ht="57" x14ac:dyDescent="0.2">
      <c r="C55" s="129" t="s">
        <v>511</v>
      </c>
      <c r="D55" s="130">
        <v>1.5</v>
      </c>
      <c r="E55" s="111" t="s">
        <v>259</v>
      </c>
      <c r="F55" s="130">
        <v>1.5</v>
      </c>
      <c r="G55" s="368"/>
      <c r="H55" s="368"/>
    </row>
    <row r="56" spans="2:8" ht="80.099999999999994" customHeight="1" x14ac:dyDescent="0.2">
      <c r="C56" s="129" t="s">
        <v>512</v>
      </c>
      <c r="D56" s="130">
        <v>0.5</v>
      </c>
      <c r="E56" s="111" t="s">
        <v>260</v>
      </c>
      <c r="F56" s="130">
        <v>0.5</v>
      </c>
      <c r="G56" s="368"/>
      <c r="H56" s="368"/>
    </row>
    <row r="57" spans="2:8" x14ac:dyDescent="0.2">
      <c r="C57" s="120"/>
      <c r="D57" s="143"/>
      <c r="E57" s="120"/>
    </row>
    <row r="58" spans="2:8" ht="18" x14ac:dyDescent="0.25">
      <c r="B58" s="119" t="s">
        <v>171</v>
      </c>
      <c r="C58" s="119"/>
      <c r="D58" s="122"/>
      <c r="E58" s="155"/>
      <c r="F58" s="119"/>
      <c r="G58" s="119"/>
      <c r="H58" s="119"/>
    </row>
    <row r="59" spans="2:8" ht="30" customHeight="1" x14ac:dyDescent="0.2">
      <c r="C59" s="123" t="s">
        <v>261</v>
      </c>
      <c r="D59" s="130">
        <v>13</v>
      </c>
      <c r="E59" s="111" t="s">
        <v>262</v>
      </c>
      <c r="F59" s="130">
        <v>13</v>
      </c>
      <c r="G59" s="367"/>
      <c r="H59" s="367"/>
    </row>
    <row r="60" spans="2:8" ht="30" customHeight="1" x14ac:dyDescent="0.2">
      <c r="C60" s="123" t="s">
        <v>263</v>
      </c>
      <c r="D60" s="130">
        <v>43</v>
      </c>
      <c r="E60" s="111" t="s">
        <v>264</v>
      </c>
      <c r="F60" s="130">
        <v>43</v>
      </c>
      <c r="G60" s="367"/>
      <c r="H60" s="367"/>
    </row>
    <row r="61" spans="2:8" ht="30" customHeight="1" x14ac:dyDescent="0.2">
      <c r="C61" s="123" t="s">
        <v>265</v>
      </c>
      <c r="D61" s="130">
        <v>37</v>
      </c>
      <c r="E61" s="111" t="s">
        <v>266</v>
      </c>
      <c r="F61" s="130">
        <v>37</v>
      </c>
      <c r="G61" s="367"/>
      <c r="H61" s="367"/>
    </row>
    <row r="62" spans="2:8" x14ac:dyDescent="0.2">
      <c r="C62" s="120"/>
      <c r="E62" s="120"/>
    </row>
    <row r="63" spans="2:8" ht="27" thickBot="1" x14ac:dyDescent="0.45">
      <c r="B63" s="114" t="s">
        <v>267</v>
      </c>
      <c r="C63" s="114"/>
      <c r="D63" s="114"/>
      <c r="E63" s="114"/>
      <c r="F63" s="114"/>
      <c r="G63" s="114"/>
      <c r="H63" s="114"/>
    </row>
    <row r="64" spans="2:8" ht="15" x14ac:dyDescent="0.25">
      <c r="B64" s="136"/>
      <c r="C64" s="137" t="s">
        <v>54</v>
      </c>
      <c r="D64" s="137" t="s">
        <v>239</v>
      </c>
      <c r="E64" s="159"/>
      <c r="F64" s="137" t="s">
        <v>240</v>
      </c>
      <c r="G64" s="138" t="s">
        <v>208</v>
      </c>
      <c r="H64" s="138"/>
    </row>
    <row r="65" spans="2:8" ht="18" x14ac:dyDescent="0.25">
      <c r="B65" s="119" t="s">
        <v>167</v>
      </c>
      <c r="C65" s="119"/>
      <c r="D65" s="119"/>
      <c r="E65" s="155"/>
      <c r="F65" s="119"/>
      <c r="G65" s="119"/>
      <c r="H65" s="119"/>
    </row>
    <row r="66" spans="2:8" ht="14.25" customHeight="1" x14ac:dyDescent="0.2">
      <c r="B66" s="321" t="s">
        <v>268</v>
      </c>
      <c r="C66" s="129"/>
      <c r="D66" s="144">
        <v>34.98749565557852</v>
      </c>
      <c r="E66" s="161" t="s">
        <v>269</v>
      </c>
      <c r="F66" s="144">
        <f>D66</f>
        <v>34.98749565557852</v>
      </c>
      <c r="G66" s="367"/>
      <c r="H66" s="367"/>
    </row>
    <row r="67" spans="2:8" ht="14.25" customHeight="1" x14ac:dyDescent="0.2">
      <c r="B67" s="321" t="s">
        <v>270</v>
      </c>
      <c r="C67" s="319"/>
      <c r="D67" s="144">
        <v>37.891574212215332</v>
      </c>
      <c r="E67" s="161" t="str">
        <f>E66</f>
        <v xml:space="preserve">Chevron internal analysis based on purchase data and production volumes </v>
      </c>
      <c r="F67" s="144">
        <f>D67</f>
        <v>37.891574212215332</v>
      </c>
      <c r="G67" s="318"/>
      <c r="H67" s="318"/>
    </row>
    <row r="68" spans="2:8" x14ac:dyDescent="0.2">
      <c r="B68" s="321" t="s">
        <v>271</v>
      </c>
      <c r="C68" s="129"/>
      <c r="D68" s="144">
        <v>4.8228271109921783</v>
      </c>
      <c r="E68" s="161" t="str">
        <f>E67</f>
        <v xml:space="preserve">Chevron internal analysis based on purchase data and production volumes </v>
      </c>
      <c r="F68" s="144">
        <f>D68</f>
        <v>4.8228271109921783</v>
      </c>
      <c r="G68" s="367"/>
      <c r="H68" s="367"/>
    </row>
    <row r="69" spans="2:8" x14ac:dyDescent="0.2">
      <c r="B69" s="321" t="s">
        <v>272</v>
      </c>
      <c r="C69" s="129"/>
      <c r="D69" s="144">
        <v>4.4531969468570631</v>
      </c>
      <c r="E69" s="161" t="str">
        <f>E68</f>
        <v xml:space="preserve">Chevron internal analysis based on purchase data and production volumes </v>
      </c>
      <c r="F69" s="144">
        <f>D69</f>
        <v>4.4531969468570631</v>
      </c>
      <c r="G69" s="367"/>
      <c r="H69" s="367"/>
    </row>
    <row r="70" spans="2:8" x14ac:dyDescent="0.2">
      <c r="E70" s="120"/>
    </row>
    <row r="72" spans="2:8" ht="27" thickBot="1" x14ac:dyDescent="0.45">
      <c r="B72" s="114" t="s">
        <v>273</v>
      </c>
      <c r="C72" s="114"/>
      <c r="D72" s="114"/>
      <c r="E72" s="114"/>
      <c r="F72" s="114"/>
      <c r="G72" s="114"/>
      <c r="H72" s="114"/>
    </row>
    <row r="74" spans="2:8" ht="18" x14ac:dyDescent="0.25">
      <c r="B74" s="119" t="s">
        <v>160</v>
      </c>
      <c r="C74" s="119"/>
      <c r="D74" s="119"/>
      <c r="E74" s="119"/>
      <c r="F74" s="119"/>
      <c r="G74" s="119"/>
    </row>
    <row r="75" spans="2:8" x14ac:dyDescent="0.2">
      <c r="D75" s="370" t="s">
        <v>274</v>
      </c>
      <c r="E75" s="370"/>
      <c r="F75" s="370"/>
      <c r="G75" s="370"/>
    </row>
    <row r="76" spans="2:8" ht="60" customHeight="1" x14ac:dyDescent="0.2">
      <c r="C76" s="209" t="s">
        <v>275</v>
      </c>
      <c r="D76" s="145" t="s">
        <v>276</v>
      </c>
      <c r="E76" s="145" t="s">
        <v>277</v>
      </c>
      <c r="F76" s="145" t="s">
        <v>278</v>
      </c>
    </row>
    <row r="77" spans="2:8" x14ac:dyDescent="0.2">
      <c r="C77" s="146" t="s">
        <v>170</v>
      </c>
      <c r="D77" s="91">
        <v>5250000</v>
      </c>
      <c r="E77" s="91">
        <v>4990000</v>
      </c>
      <c r="F77" s="152">
        <v>7.1542999999999995E-2</v>
      </c>
    </row>
    <row r="78" spans="2:8" x14ac:dyDescent="0.2">
      <c r="C78" s="120" t="s">
        <v>172</v>
      </c>
      <c r="D78" s="92">
        <v>5830000</v>
      </c>
      <c r="E78" s="92">
        <v>5530000</v>
      </c>
      <c r="F78" s="153">
        <v>7.4442999999999995E-2</v>
      </c>
    </row>
    <row r="79" spans="2:8" x14ac:dyDescent="0.2">
      <c r="C79" s="120" t="s">
        <v>174</v>
      </c>
      <c r="D79" s="92">
        <v>5670000</v>
      </c>
      <c r="E79" s="92">
        <v>5390000</v>
      </c>
      <c r="F79" s="153">
        <v>7.2442999999999994E-2</v>
      </c>
    </row>
    <row r="80" spans="2:8" x14ac:dyDescent="0.2">
      <c r="C80" s="120" t="s">
        <v>175</v>
      </c>
      <c r="D80" s="92">
        <v>6290000</v>
      </c>
      <c r="E80" s="92">
        <v>5970000</v>
      </c>
      <c r="F80" s="153">
        <v>7.5243000000000004E-2</v>
      </c>
    </row>
    <row r="81" spans="2:9" x14ac:dyDescent="0.2">
      <c r="C81" s="147" t="s">
        <v>202</v>
      </c>
      <c r="D81" s="93">
        <v>5800000</v>
      </c>
      <c r="E81" s="93">
        <v>5510000</v>
      </c>
      <c r="F81" s="154">
        <v>7.4743000000000004E-2</v>
      </c>
    </row>
    <row r="82" spans="2:9" x14ac:dyDescent="0.2">
      <c r="C82" s="371" t="s">
        <v>279</v>
      </c>
      <c r="D82" s="371"/>
      <c r="E82" s="371"/>
      <c r="F82" s="371"/>
    </row>
    <row r="83" spans="2:9" ht="16.5" x14ac:dyDescent="0.2">
      <c r="C83" s="120" t="s">
        <v>280</v>
      </c>
    </row>
    <row r="84" spans="2:9" x14ac:dyDescent="0.2">
      <c r="C84" s="120"/>
    </row>
    <row r="85" spans="2:9" x14ac:dyDescent="0.2">
      <c r="C85" s="120"/>
      <c r="D85" s="370" t="s">
        <v>281</v>
      </c>
      <c r="E85" s="370"/>
      <c r="F85" s="370"/>
      <c r="G85" s="370"/>
    </row>
    <row r="86" spans="2:9" ht="61.5" x14ac:dyDescent="0.2">
      <c r="C86" s="209" t="s">
        <v>275</v>
      </c>
      <c r="D86" s="145" t="s">
        <v>282</v>
      </c>
      <c r="E86" s="145" t="s">
        <v>283</v>
      </c>
      <c r="F86" s="145" t="s">
        <v>284</v>
      </c>
    </row>
    <row r="87" spans="2:9" x14ac:dyDescent="0.2">
      <c r="C87" s="146" t="s">
        <v>170</v>
      </c>
      <c r="D87" s="91">
        <v>5250000</v>
      </c>
      <c r="E87" s="91">
        <v>4990000</v>
      </c>
      <c r="F87" s="152">
        <v>7.1542999999999995E-2</v>
      </c>
    </row>
    <row r="88" spans="2:9" x14ac:dyDescent="0.2">
      <c r="C88" s="120" t="s">
        <v>172</v>
      </c>
      <c r="D88" s="92">
        <v>5830000</v>
      </c>
      <c r="E88" s="92">
        <v>5530000</v>
      </c>
      <c r="F88" s="153">
        <v>7.4442999999999995E-2</v>
      </c>
    </row>
    <row r="89" spans="2:9" x14ac:dyDescent="0.2">
      <c r="C89" s="120" t="s">
        <v>174</v>
      </c>
      <c r="D89" s="92">
        <v>5670000</v>
      </c>
      <c r="E89" s="92">
        <v>5390000</v>
      </c>
      <c r="F89" s="153">
        <v>7.2442999999999994E-2</v>
      </c>
    </row>
    <row r="90" spans="2:9" x14ac:dyDescent="0.2">
      <c r="C90" s="120" t="s">
        <v>175</v>
      </c>
      <c r="D90" s="92">
        <v>6290000</v>
      </c>
      <c r="E90" s="92">
        <v>5970000</v>
      </c>
      <c r="F90" s="153">
        <v>7.5243000000000004E-2</v>
      </c>
    </row>
    <row r="91" spans="2:9" x14ac:dyDescent="0.2">
      <c r="C91" s="147" t="s">
        <v>202</v>
      </c>
      <c r="D91" s="93">
        <v>5800000</v>
      </c>
      <c r="E91" s="93">
        <v>5510000</v>
      </c>
      <c r="F91" s="154">
        <v>7.4743000000000004E-2</v>
      </c>
    </row>
    <row r="92" spans="2:9" x14ac:dyDescent="0.2">
      <c r="C92" s="148" t="s">
        <v>285</v>
      </c>
      <c r="D92" s="201"/>
      <c r="E92" s="201"/>
      <c r="F92" s="201"/>
      <c r="G92" s="201"/>
    </row>
    <row r="93" spans="2:9" x14ac:dyDescent="0.2">
      <c r="D93" s="201"/>
      <c r="E93" s="201"/>
      <c r="F93" s="201"/>
      <c r="G93" s="201"/>
    </row>
    <row r="94" spans="2:9" x14ac:dyDescent="0.2">
      <c r="D94" s="201"/>
      <c r="E94" s="201"/>
      <c r="F94" s="201"/>
      <c r="G94" s="201"/>
    </row>
    <row r="95" spans="2:9" ht="27" thickBot="1" x14ac:dyDescent="0.45">
      <c r="B95" s="114" t="s">
        <v>286</v>
      </c>
      <c r="C95" s="114"/>
      <c r="D95" s="114"/>
      <c r="E95" s="114"/>
      <c r="F95" s="114"/>
      <c r="G95" s="114"/>
      <c r="H95" s="114"/>
      <c r="I95" s="114"/>
    </row>
    <row r="96" spans="2:9" x14ac:dyDescent="0.2">
      <c r="B96" s="222"/>
      <c r="C96" s="222"/>
      <c r="D96" s="222"/>
      <c r="E96" s="222"/>
      <c r="F96" s="222"/>
      <c r="G96" s="222"/>
      <c r="H96" s="222"/>
      <c r="I96" s="222"/>
    </row>
    <row r="97" spans="2:9" ht="42.75" x14ac:dyDescent="0.2">
      <c r="B97" s="222"/>
      <c r="C97" s="209" t="s">
        <v>287</v>
      </c>
      <c r="D97" s="145" t="s">
        <v>288</v>
      </c>
      <c r="E97" s="145" t="s">
        <v>289</v>
      </c>
      <c r="F97" s="145" t="s">
        <v>290</v>
      </c>
      <c r="G97" s="145" t="s">
        <v>291</v>
      </c>
      <c r="H97" s="210" t="s">
        <v>292</v>
      </c>
      <c r="I97" s="222"/>
    </row>
    <row r="98" spans="2:9" x14ac:dyDescent="0.2">
      <c r="B98" s="222"/>
      <c r="C98" s="222" t="s">
        <v>293</v>
      </c>
      <c r="D98" s="176">
        <v>0.42</v>
      </c>
      <c r="E98" s="173">
        <v>2920000</v>
      </c>
      <c r="F98" s="65">
        <f>D98*E98</f>
        <v>1226400</v>
      </c>
      <c r="G98" s="175">
        <v>2770000</v>
      </c>
      <c r="H98" s="58">
        <f>G98*D98</f>
        <v>1163400</v>
      </c>
      <c r="I98" s="222"/>
    </row>
    <row r="99" spans="2:9" x14ac:dyDescent="0.2">
      <c r="B99" s="222"/>
      <c r="C99" s="222" t="s">
        <v>294</v>
      </c>
      <c r="D99" s="176">
        <v>0.28000000000000003</v>
      </c>
      <c r="E99" s="173">
        <v>3820000</v>
      </c>
      <c r="F99" s="65">
        <f>D99*E99</f>
        <v>1069600</v>
      </c>
      <c r="G99" s="175">
        <v>3630000</v>
      </c>
      <c r="H99" s="58">
        <f>G99*D99</f>
        <v>1016400.0000000001</v>
      </c>
      <c r="I99" s="222"/>
    </row>
    <row r="100" spans="2:9" x14ac:dyDescent="0.2">
      <c r="B100" s="222"/>
      <c r="C100" s="222" t="s">
        <v>295</v>
      </c>
      <c r="D100" s="176">
        <v>0.08</v>
      </c>
      <c r="E100" s="173">
        <v>4330000</v>
      </c>
      <c r="F100" s="65">
        <f>D100*E100</f>
        <v>346400</v>
      </c>
      <c r="G100" s="175">
        <v>4110000</v>
      </c>
      <c r="H100" s="58">
        <f>G100*D100</f>
        <v>328800</v>
      </c>
      <c r="I100" s="222"/>
    </row>
    <row r="101" spans="2:9" x14ac:dyDescent="0.2">
      <c r="B101" s="222"/>
      <c r="C101" s="222" t="s">
        <v>296</v>
      </c>
      <c r="D101" s="176">
        <v>0.09</v>
      </c>
      <c r="E101" s="173">
        <v>4160000</v>
      </c>
      <c r="F101" s="65">
        <f>D101*E101</f>
        <v>374400</v>
      </c>
      <c r="G101" s="175">
        <v>3950000</v>
      </c>
      <c r="H101" s="58">
        <f>G101*D101</f>
        <v>355500</v>
      </c>
      <c r="I101" s="222"/>
    </row>
    <row r="102" spans="2:9" x14ac:dyDescent="0.2">
      <c r="B102" s="222"/>
      <c r="C102" s="250" t="s">
        <v>297</v>
      </c>
      <c r="D102" s="177">
        <v>0.13</v>
      </c>
      <c r="E102" s="174">
        <v>4620000</v>
      </c>
      <c r="F102" s="66">
        <f>D102*E102</f>
        <v>600600</v>
      </c>
      <c r="G102" s="174">
        <v>4390000</v>
      </c>
      <c r="H102" s="66">
        <f>G102*D102</f>
        <v>570700</v>
      </c>
      <c r="I102" s="222"/>
    </row>
    <row r="103" spans="2:9" x14ac:dyDescent="0.2">
      <c r="B103" s="222"/>
      <c r="C103" s="222" t="s">
        <v>298</v>
      </c>
      <c r="D103" s="222"/>
      <c r="E103" s="222"/>
      <c r="F103" s="65">
        <f>SUM(F98:F102)</f>
        <v>3617400</v>
      </c>
      <c r="G103" s="222"/>
      <c r="H103" s="58">
        <f>SUM(H98:H102)</f>
        <v>3434800</v>
      </c>
      <c r="I103" s="222"/>
    </row>
    <row r="104" spans="2:9" x14ac:dyDescent="0.2">
      <c r="B104" s="222"/>
      <c r="C104" s="222"/>
      <c r="D104" s="222"/>
      <c r="E104" s="222"/>
      <c r="F104" s="222"/>
      <c r="G104" s="222"/>
      <c r="H104" s="222"/>
      <c r="I104" s="222"/>
    </row>
    <row r="105" spans="2:9" x14ac:dyDescent="0.2">
      <c r="B105" s="222"/>
      <c r="C105" s="222"/>
      <c r="D105" s="222"/>
      <c r="E105" s="222"/>
      <c r="F105" s="222"/>
      <c r="G105" s="222"/>
      <c r="H105" s="222"/>
      <c r="I105" s="222"/>
    </row>
    <row r="106" spans="2:9" x14ac:dyDescent="0.2">
      <c r="B106" s="222"/>
      <c r="C106" s="222"/>
      <c r="D106" s="222"/>
      <c r="E106" s="222"/>
      <c r="F106" s="222"/>
      <c r="G106" s="222"/>
      <c r="H106" s="222"/>
      <c r="I106" s="222"/>
    </row>
    <row r="107" spans="2:9" x14ac:dyDescent="0.2">
      <c r="B107" s="222"/>
      <c r="C107" s="222"/>
      <c r="D107" s="222"/>
      <c r="E107" s="222"/>
      <c r="F107" s="222"/>
      <c r="G107" s="222"/>
      <c r="H107" s="222"/>
      <c r="I107" s="222"/>
    </row>
    <row r="108" spans="2:9" x14ac:dyDescent="0.2">
      <c r="B108" s="222"/>
      <c r="C108" s="222"/>
      <c r="D108" s="222"/>
      <c r="E108" s="222"/>
      <c r="F108" s="222"/>
      <c r="G108" s="222"/>
      <c r="H108" s="222"/>
      <c r="I108" s="222"/>
    </row>
    <row r="109" spans="2:9" x14ac:dyDescent="0.2">
      <c r="B109" s="222"/>
      <c r="C109" s="222"/>
      <c r="D109" s="222"/>
      <c r="E109" s="222"/>
      <c r="F109" s="222"/>
      <c r="G109" s="222"/>
      <c r="H109" s="222"/>
      <c r="I109" s="222"/>
    </row>
  </sheetData>
  <sheetProtection selectLockedCells="1"/>
  <mergeCells count="33">
    <mergeCell ref="G51:H51"/>
    <mergeCell ref="G54:H54"/>
    <mergeCell ref="G55:H55"/>
    <mergeCell ref="G56:H56"/>
    <mergeCell ref="D75:G75"/>
    <mergeCell ref="D85:G85"/>
    <mergeCell ref="G68:H68"/>
    <mergeCell ref="G59:H59"/>
    <mergeCell ref="G60:H60"/>
    <mergeCell ref="G61:H61"/>
    <mergeCell ref="G66:H66"/>
    <mergeCell ref="G69:H69"/>
    <mergeCell ref="C82:F82"/>
    <mergeCell ref="G10:H10"/>
    <mergeCell ref="G11:H11"/>
    <mergeCell ref="G18:H18"/>
    <mergeCell ref="G19:H19"/>
    <mergeCell ref="G20:H20"/>
    <mergeCell ref="G16:H16"/>
    <mergeCell ref="G22:H22"/>
    <mergeCell ref="G50:H50"/>
    <mergeCell ref="G26:H26"/>
    <mergeCell ref="G29:H29"/>
    <mergeCell ref="G37:H37"/>
    <mergeCell ref="G38:H38"/>
    <mergeCell ref="G39:H39"/>
    <mergeCell ref="G44:H44"/>
    <mergeCell ref="G43:H43"/>
    <mergeCell ref="G23:H23"/>
    <mergeCell ref="G25:H25"/>
    <mergeCell ref="G45:H45"/>
    <mergeCell ref="G46:H46"/>
    <mergeCell ref="G47:H47"/>
  </mergeCells>
  <phoneticPr fontId="3" type="noConversion"/>
  <hyperlinks>
    <hyperlink ref="E18" r:id="rId1" display="Source:  EIA Factor Based on Average Value Delivered to Consumers, https://www.eia.gov/energyexplained/units-and-calculators/energy-conversion-calculators.php" xr:uid="{B882E89A-7599-4632-BBD2-657148E1DBC0}"/>
    <hyperlink ref="E54" r:id="rId2" display="Source: 2030 value for Natural Gas and SMR, 1700km, https://hydrogencouncil.com/wp-content/uploads/2021/01/Hydrogen-Council-Report_Decarbonization-Pathways_Part-1-Lifecycle-Assessment.pdf" xr:uid="{B6D6E986-4BB3-46C1-BDE0-CE9430BD30F3}"/>
    <hyperlink ref="E55" r:id="rId3" display="Source: 2030 value for Natural Gas with SMR and 90% CCUS capture, 1700km, https://hydrogencouncil.com/wp-content/uploads/2021/01/Hydrogen-Council-Report_Decarbonization-Pathways_Part-1-Lifecycle-Assessment.pdf" xr:uid="{7C25B397-A107-4289-94A4-E021EC54BEDF}"/>
    <hyperlink ref="E56" r:id="rId4" display="Source: 2030 value for Renewable Electrolysis with Wind Power, https://hydrogencouncil.com/wp-content/uploads/2021/01/Hydrogen-Council-Report_Decarbonization-Pathways_Part-1-Lifecycle-Assessment.pdf" xr:uid="{7E7381E7-69C6-44A2-B20B-84D3B72F0E84}"/>
    <hyperlink ref="E59" r:id="rId5" display="https://www.nrel.gov/docs/fy21osti/80580.pdf" xr:uid="{8809C34B-B320-44E4-9E04-B4A0661563C3}"/>
    <hyperlink ref="E60" r:id="rId6" display="https://www.nrel.gov/docs/fy21osti/80580.pdf" xr:uid="{921AE6FC-6C9A-4229-9166-9434B4474B12}"/>
    <hyperlink ref="E61" r:id="rId7" display="https://www.nrel.gov/docs/fy21osti/80580.pdf" xr:uid="{1C7B18D3-82FD-47EC-986F-DFF5FC086581}"/>
    <hyperlink ref="E16" r:id="rId8" display="https://www.eia.gov/energyexplained/oil-and-petroleum-products/refining-crude-oil-inputs-and-outputs.php" xr:uid="{293D4A84-B135-4914-A423-D056AE2EF01F}"/>
  </hyperlinks>
  <pageMargins left="0.7" right="0.7" top="0.75" bottom="0.75" header="0.3" footer="0.3"/>
  <pageSetup orientation="portrait" r:id="rId9"/>
  <drawing r:id="rId10"/>
  <legacyDrawing r:id="rId11"/>
  <mc:AlternateContent xmlns:mc="http://schemas.openxmlformats.org/markup-compatibility/2006">
    <mc:Choice Requires="x14">
      <controls>
        <mc:AlternateContent xmlns:mc="http://schemas.openxmlformats.org/markup-compatibility/2006">
          <mc:Choice Requires="x14">
            <control shapeId="35877" r:id="rId12" name="Check Box 37">
              <controlPr defaultSize="0" autoFill="0" autoLine="0" autoPict="0">
                <anchor moveWithCells="1">
                  <from>
                    <xdr:col>1</xdr:col>
                    <xdr:colOff>28575</xdr:colOff>
                    <xdr:row>2</xdr:row>
                    <xdr:rowOff>0</xdr:rowOff>
                  </from>
                  <to>
                    <xdr:col>1</xdr:col>
                    <xdr:colOff>276225</xdr:colOff>
                    <xdr:row>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id="{985CFFDE-FD32-4B5B-A9C7-CEA1E0A26BB7}">
            <xm:f>NOT(ISERROR(SEARCH("- Active",F8)))</xm:f>
            <xm:f>"- Active"</xm:f>
            <x14:dxf>
              <fill>
                <patternFill>
                  <bgColor theme="5" tint="0.39994506668294322"/>
                </patternFill>
              </fill>
            </x14:dxf>
          </x14:cfRule>
          <xm:sqref>F8</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92D050"/>
  </sheetPr>
  <dimension ref="A1:Q111"/>
  <sheetViews>
    <sheetView showGridLines="0" zoomScale="59" zoomScaleNormal="100" zoomScaleSheetLayoutView="50" workbookViewId="0">
      <pane ySplit="1" topLeftCell="A2" activePane="bottomLeft" state="frozen"/>
      <selection activeCell="B1" sqref="B1"/>
      <selection pane="bottomLeft"/>
    </sheetView>
  </sheetViews>
  <sheetFormatPr defaultColWidth="0" defaultRowHeight="12.75" x14ac:dyDescent="0.2"/>
  <cols>
    <col min="1" max="1" width="9.140625" style="222" customWidth="1"/>
    <col min="2" max="2" width="55.85546875" style="222" customWidth="1"/>
    <col min="3" max="3" width="26" style="222" customWidth="1"/>
    <col min="4" max="4" width="22.140625" style="222" customWidth="1"/>
    <col min="5" max="5" width="24.140625" style="222" customWidth="1"/>
    <col min="6" max="6" width="24" style="222" customWidth="1"/>
    <col min="7" max="7" width="25.85546875" style="222" customWidth="1"/>
    <col min="8" max="8" width="27.140625" style="222" customWidth="1"/>
    <col min="9" max="9" width="18.85546875" style="222" customWidth="1"/>
    <col min="10" max="11" width="18.140625" style="222" customWidth="1"/>
    <col min="12" max="12" width="2.5703125" style="222" customWidth="1"/>
    <col min="13" max="13" width="17" style="222" customWidth="1"/>
    <col min="14" max="16" width="18.140625" style="222" customWidth="1"/>
    <col min="17" max="17" width="20.140625" style="222" customWidth="1"/>
    <col min="18" max="16384" width="9.140625" style="222" hidden="1"/>
  </cols>
  <sheetData>
    <row r="1" spans="2:16" ht="99.75" customHeight="1" x14ac:dyDescent="0.2"/>
    <row r="2" spans="2:16" ht="26.25" x14ac:dyDescent="0.4">
      <c r="B2" s="6" t="s">
        <v>299</v>
      </c>
    </row>
    <row r="3" spans="2:16" x14ac:dyDescent="0.2">
      <c r="B3" s="27" t="s">
        <v>205</v>
      </c>
    </row>
    <row r="5" spans="2:16" ht="13.5" thickBot="1" x14ac:dyDescent="0.25">
      <c r="B5" s="48" t="s">
        <v>300</v>
      </c>
      <c r="C5" s="48"/>
      <c r="D5" s="48" t="s">
        <v>301</v>
      </c>
      <c r="E5" s="48"/>
      <c r="F5" s="48"/>
      <c r="G5" s="48"/>
      <c r="H5" s="48"/>
      <c r="I5" s="48"/>
      <c r="J5" s="48"/>
      <c r="K5" s="48"/>
      <c r="L5" s="48"/>
      <c r="M5" s="48"/>
      <c r="N5" s="48"/>
      <c r="O5" s="48"/>
      <c r="P5" s="48"/>
    </row>
    <row r="6" spans="2:16" x14ac:dyDescent="0.2">
      <c r="B6" s="247" t="s">
        <v>151</v>
      </c>
      <c r="C6" s="258">
        <f>D108/1000000</f>
        <v>5.6592130963387017</v>
      </c>
      <c r="D6" s="25" t="s">
        <v>302</v>
      </c>
    </row>
    <row r="7" spans="2:16" ht="15.75" x14ac:dyDescent="0.3">
      <c r="B7" s="259" t="s">
        <v>303</v>
      </c>
      <c r="C7" s="260">
        <f>K108</f>
        <v>461.87836814076337</v>
      </c>
      <c r="D7" s="25" t="s">
        <v>304</v>
      </c>
    </row>
    <row r="8" spans="2:16" x14ac:dyDescent="0.2">
      <c r="B8" s="31" t="s">
        <v>305</v>
      </c>
      <c r="C8" s="32">
        <f>IF(C6&gt;0,C7/C6)</f>
        <v>81.615298854814512</v>
      </c>
      <c r="D8" s="25" t="s">
        <v>306</v>
      </c>
    </row>
    <row r="10" spans="2:16" x14ac:dyDescent="0.2">
      <c r="B10" s="42" t="s">
        <v>307</v>
      </c>
      <c r="C10" s="43"/>
      <c r="D10" s="42"/>
      <c r="E10" s="42"/>
      <c r="F10" s="42"/>
      <c r="G10" s="42"/>
      <c r="H10" s="42"/>
      <c r="I10" s="42"/>
      <c r="J10" s="42"/>
      <c r="K10" s="42"/>
      <c r="L10" s="42"/>
      <c r="M10" s="42"/>
      <c r="N10" s="42"/>
      <c r="O10" s="42"/>
      <c r="P10" s="42"/>
    </row>
    <row r="11" spans="2:16" x14ac:dyDescent="0.2">
      <c r="B11" s="55" t="s">
        <v>308</v>
      </c>
      <c r="C11" s="54" t="s">
        <v>149</v>
      </c>
      <c r="D11" s="55" t="s">
        <v>301</v>
      </c>
      <c r="E11" s="261"/>
      <c r="F11" s="261"/>
      <c r="G11" s="261"/>
      <c r="H11" s="261"/>
      <c r="I11" s="261"/>
      <c r="J11" s="261"/>
      <c r="K11" s="261"/>
      <c r="L11" s="261"/>
      <c r="M11" s="261"/>
      <c r="N11" s="261"/>
      <c r="O11" s="261"/>
      <c r="P11" s="261"/>
    </row>
    <row r="12" spans="2:16" x14ac:dyDescent="0.2">
      <c r="B12" s="262" t="str">
        <f>Dashboard!B9</f>
        <v>Net Crude Oil and Natural Gas Liquids Production</v>
      </c>
      <c r="C12" s="9">
        <f>Dashboard!C9</f>
        <v>1830</v>
      </c>
      <c r="D12" s="25" t="s">
        <v>309</v>
      </c>
    </row>
    <row r="13" spans="2:16" x14ac:dyDescent="0.2">
      <c r="B13" s="263" t="str">
        <f>Dashboard!B25</f>
        <v>Upstream Natural Gas Liquids</v>
      </c>
      <c r="C13" s="26">
        <f>Dashboard!C25</f>
        <v>448</v>
      </c>
      <c r="D13" s="186" t="s">
        <v>309</v>
      </c>
      <c r="E13" s="250"/>
      <c r="F13" s="250"/>
    </row>
    <row r="14" spans="2:16" x14ac:dyDescent="0.2">
      <c r="B14" s="247" t="s">
        <v>310</v>
      </c>
      <c r="C14" s="264">
        <f>MAX(C12-C13,0)</f>
        <v>1382</v>
      </c>
      <c r="D14" s="25" t="s">
        <v>311</v>
      </c>
    </row>
    <row r="15" spans="2:16" ht="5.0999999999999996" customHeight="1" x14ac:dyDescent="0.2">
      <c r="B15" s="247"/>
      <c r="C15" s="264"/>
    </row>
    <row r="16" spans="2:16" x14ac:dyDescent="0.2">
      <c r="B16" s="247" t="str">
        <f>Dashboard!B15</f>
        <v xml:space="preserve">Refinery Crude Oil Input </v>
      </c>
      <c r="C16" s="9">
        <f>Dashboard!C15</f>
        <v>1560</v>
      </c>
      <c r="D16" s="25" t="s">
        <v>309</v>
      </c>
    </row>
    <row r="17" spans="2:16" ht="5.0999999999999996" customHeight="1" x14ac:dyDescent="0.2">
      <c r="B17" s="247"/>
      <c r="C17" s="9"/>
      <c r="D17" s="25"/>
    </row>
    <row r="18" spans="2:16" ht="15" x14ac:dyDescent="0.25">
      <c r="B18" s="247" t="str">
        <f>"Marketed Refined Products "&amp;IF(' Alt Calc - Refined Products'!F2=TRUE,"(From Alternate Calculation)","")</f>
        <v xml:space="preserve">Marketed Refined Products </v>
      </c>
      <c r="C18" s="9">
        <f>IF(' Alt Calc - Refined Products'!F2=TRUE,SUM(' Alt Calc - Refined Products'!D11:D15),SUM(Dashboard!C18:C22))</f>
        <v>2732</v>
      </c>
      <c r="D18" s="25" t="str">
        <f>IF(' Alt Calc - Refined Products'!F2=TRUE,"Input from Alt Calc - Refined Products tab","Input from Dashboard - sum of Oil  - Marketing")</f>
        <v>Input from Dashboard - sum of Oil  - Marketing</v>
      </c>
      <c r="G18" s="372" t="s">
        <v>312</v>
      </c>
      <c r="H18" s="372"/>
      <c r="I18" s="372"/>
      <c r="J18" s="372"/>
      <c r="K18" s="372"/>
    </row>
    <row r="19" spans="2:16" x14ac:dyDescent="0.2">
      <c r="B19" s="259" t="s">
        <v>313</v>
      </c>
      <c r="C19" s="26">
        <f>SUM(Dashboard!C29:C29)</f>
        <v>117.4136140350877</v>
      </c>
      <c r="D19" s="186" t="s">
        <v>309</v>
      </c>
      <c r="E19" s="265"/>
      <c r="F19" s="250"/>
    </row>
    <row r="20" spans="2:16" x14ac:dyDescent="0.2">
      <c r="B20" s="247" t="s">
        <v>314</v>
      </c>
      <c r="C20" s="264">
        <f>MAX(C18-C19,0)</f>
        <v>2614.5863859649121</v>
      </c>
      <c r="D20" s="190" t="s">
        <v>315</v>
      </c>
      <c r="E20" s="266"/>
    </row>
    <row r="21" spans="2:16" x14ac:dyDescent="0.2">
      <c r="C21" s="267"/>
      <c r="D21" s="266"/>
      <c r="E21" s="266"/>
      <c r="F21" s="268"/>
    </row>
    <row r="22" spans="2:16" x14ac:dyDescent="0.2">
      <c r="B22" s="42" t="s">
        <v>316</v>
      </c>
      <c r="C22" s="42"/>
      <c r="D22" s="42"/>
      <c r="E22" s="42"/>
      <c r="F22" s="42"/>
      <c r="G22" s="42"/>
      <c r="H22" s="42"/>
      <c r="I22" s="42"/>
      <c r="J22" s="42"/>
      <c r="K22" s="42"/>
      <c r="L22" s="42"/>
      <c r="M22" s="42"/>
      <c r="N22" s="42"/>
      <c r="O22" s="42"/>
      <c r="P22" s="42"/>
    </row>
    <row r="23" spans="2:16" x14ac:dyDescent="0.2">
      <c r="B23" s="55" t="s">
        <v>54</v>
      </c>
      <c r="C23" s="54" t="s">
        <v>317</v>
      </c>
      <c r="D23" s="55" t="s">
        <v>207</v>
      </c>
      <c r="E23" s="261"/>
      <c r="F23" s="261"/>
      <c r="G23" s="261"/>
      <c r="H23" s="261"/>
      <c r="I23" s="261"/>
      <c r="J23" s="261"/>
      <c r="K23" s="261"/>
      <c r="L23" s="261"/>
      <c r="M23" s="261"/>
      <c r="N23" s="261"/>
      <c r="O23" s="261"/>
      <c r="P23" s="261"/>
    </row>
    <row r="24" spans="2:16" x14ac:dyDescent="0.2">
      <c r="B24" s="247" t="s">
        <v>220</v>
      </c>
      <c r="C24" s="23">
        <f>IF(Dashboard!$Q$2=TRUE,Factors!D16,Factors!F16)</f>
        <v>1.0629999999999999</v>
      </c>
      <c r="D24" s="191" t="str">
        <f>IF(Dashboard!$Q$2=TRUE,Factors!E16,Factors!G16)</f>
        <v>EIA average processing gain at U.S. refineries, 2022: https://www.eia.gov/energyexplained/oil-and-petroleum-products/refining-crude-oil-inputs-and-outputs.php</v>
      </c>
    </row>
    <row r="25" spans="2:16" x14ac:dyDescent="0.2">
      <c r="B25" s="247" t="s">
        <v>318</v>
      </c>
      <c r="C25" s="22">
        <f>IF(Dashboard!$Q$2=TRUE,Factors!D10,Factors!F10)</f>
        <v>365</v>
      </c>
      <c r="D25" s="195" t="str">
        <f>IF(Dashboard!$Q$2=TRUE,Factors!E10,Factors!G10)</f>
        <v>Days in the year (non-leap year)</v>
      </c>
    </row>
    <row r="26" spans="2:16" x14ac:dyDescent="0.2">
      <c r="B26" s="247" t="s">
        <v>212</v>
      </c>
      <c r="C26" s="22">
        <f>IF(Dashboard!$Q$2=TRUE,Factors!D11,Factors!F11)</f>
        <v>947.81700000000001</v>
      </c>
      <c r="D26" s="191" t="str">
        <f>IF(Dashboard!$Q$2=TRUE,Factors!E11,Factors!G11)</f>
        <v>Unit conversion</v>
      </c>
    </row>
    <row r="27" spans="2:16" x14ac:dyDescent="0.2">
      <c r="C27" s="241"/>
    </row>
    <row r="28" spans="2:16" x14ac:dyDescent="0.2">
      <c r="B28" s="42" t="s">
        <v>319</v>
      </c>
      <c r="C28" s="43" t="s">
        <v>149</v>
      </c>
      <c r="D28" s="42" t="s">
        <v>301</v>
      </c>
      <c r="E28" s="42"/>
      <c r="F28" s="42"/>
      <c r="G28" s="42"/>
      <c r="H28" s="42"/>
      <c r="I28" s="42"/>
      <c r="J28" s="42"/>
      <c r="K28" s="42"/>
      <c r="L28" s="42"/>
      <c r="M28" s="42"/>
      <c r="N28" s="42"/>
      <c r="O28" s="42"/>
      <c r="P28" s="42"/>
    </row>
    <row r="29" spans="2:16" s="47" customFormat="1" ht="25.5" x14ac:dyDescent="0.2">
      <c r="B29" s="187" t="s">
        <v>320</v>
      </c>
      <c r="C29" s="44"/>
      <c r="D29" s="44"/>
      <c r="E29" s="44"/>
      <c r="F29" s="44"/>
      <c r="G29" s="44"/>
      <c r="H29" s="44"/>
      <c r="I29" s="44"/>
      <c r="J29" s="44"/>
      <c r="K29" s="44"/>
      <c r="L29" s="44"/>
      <c r="M29" s="44"/>
      <c r="N29" s="44"/>
      <c r="O29" s="44"/>
      <c r="P29" s="44"/>
    </row>
    <row r="30" spans="2:16" x14ac:dyDescent="0.2">
      <c r="B30" s="247" t="s">
        <v>321</v>
      </c>
      <c r="C30" s="264">
        <f>MIN(C14,C16)*C24</f>
        <v>1469.066</v>
      </c>
      <c r="D30" s="24" t="s">
        <v>322</v>
      </c>
      <c r="E30" s="266"/>
      <c r="F30" s="268"/>
    </row>
    <row r="31" spans="2:16" x14ac:dyDescent="0.2">
      <c r="B31" s="247" t="s">
        <v>323</v>
      </c>
      <c r="C31" s="264">
        <f>MAX(0,C16-C14)*C24</f>
        <v>189.214</v>
      </c>
      <c r="D31" s="24" t="s">
        <v>324</v>
      </c>
      <c r="E31" s="266"/>
      <c r="F31" s="268"/>
    </row>
    <row r="32" spans="2:16" x14ac:dyDescent="0.2">
      <c r="B32" s="247" t="s">
        <v>325</v>
      </c>
      <c r="C32" s="264">
        <f>MAX(0,C14-C16)*C24</f>
        <v>0</v>
      </c>
      <c r="D32" s="24" t="s">
        <v>326</v>
      </c>
      <c r="E32" s="266"/>
      <c r="F32" s="268"/>
    </row>
    <row r="33" spans="2:16" x14ac:dyDescent="0.2">
      <c r="B33" s="247" t="s">
        <v>327</v>
      </c>
      <c r="C33" s="264">
        <f>MAX(0,(C18-C19)-(C30+C31+C32))</f>
        <v>956.30638596491212</v>
      </c>
      <c r="D33" s="24" t="s">
        <v>328</v>
      </c>
      <c r="E33" s="266"/>
      <c r="F33" s="268"/>
    </row>
    <row r="34" spans="2:16" x14ac:dyDescent="0.2">
      <c r="C34" s="267"/>
      <c r="D34" s="266"/>
      <c r="E34" s="266"/>
      <c r="F34" s="268"/>
    </row>
    <row r="35" spans="2:16" ht="13.5" thickBot="1" x14ac:dyDescent="0.25">
      <c r="B35" s="20" t="s">
        <v>329</v>
      </c>
      <c r="C35" s="43" t="s">
        <v>149</v>
      </c>
      <c r="D35" s="21" t="s">
        <v>330</v>
      </c>
      <c r="E35" s="20" t="s">
        <v>301</v>
      </c>
      <c r="F35" s="20"/>
      <c r="G35" s="20"/>
      <c r="H35" s="20"/>
      <c r="I35" s="20"/>
      <c r="J35" s="20"/>
      <c r="K35" s="20"/>
      <c r="L35" s="20"/>
      <c r="M35" s="20"/>
      <c r="N35" s="20"/>
      <c r="O35" s="20"/>
      <c r="P35" s="20"/>
    </row>
    <row r="36" spans="2:16" x14ac:dyDescent="0.2">
      <c r="B36" s="247" t="s">
        <v>331</v>
      </c>
      <c r="C36" s="264">
        <f>C20</f>
        <v>2614.5863859649121</v>
      </c>
      <c r="D36" s="28">
        <f>C36/(C36+C37)</f>
        <v>1</v>
      </c>
      <c r="E36" s="24" t="s">
        <v>332</v>
      </c>
      <c r="F36" s="268"/>
    </row>
    <row r="37" spans="2:16" x14ac:dyDescent="0.2">
      <c r="B37" s="247" t="s">
        <v>333</v>
      </c>
      <c r="C37" s="264">
        <f>MAX(0,(C30+C31+C32)-C36)</f>
        <v>0</v>
      </c>
      <c r="D37" s="28">
        <f>(C37/(C36+C37))</f>
        <v>0</v>
      </c>
      <c r="E37" s="24" t="s">
        <v>334</v>
      </c>
      <c r="F37" s="268"/>
    </row>
    <row r="38" spans="2:16" x14ac:dyDescent="0.2">
      <c r="C38" s="267"/>
      <c r="D38" s="266"/>
      <c r="E38" s="266"/>
      <c r="F38" s="268"/>
    </row>
    <row r="39" spans="2:16" ht="13.5" thickBot="1" x14ac:dyDescent="0.25">
      <c r="B39" s="20" t="s">
        <v>335</v>
      </c>
      <c r="C39" s="20"/>
      <c r="D39" s="20"/>
      <c r="E39" s="20"/>
      <c r="F39" s="20"/>
      <c r="G39" s="20"/>
      <c r="H39" s="20"/>
      <c r="I39" s="20"/>
      <c r="J39" s="20"/>
      <c r="K39" s="20"/>
      <c r="L39" s="20"/>
      <c r="M39" s="20"/>
      <c r="N39" s="20"/>
      <c r="O39" s="20"/>
      <c r="P39" s="20"/>
    </row>
    <row r="40" spans="2:16" ht="40.35" customHeight="1" x14ac:dyDescent="0.2">
      <c r="B40" s="30" t="s">
        <v>336</v>
      </c>
      <c r="C40" s="11" t="s">
        <v>149</v>
      </c>
      <c r="D40" s="39" t="s">
        <v>301</v>
      </c>
      <c r="E40" s="12"/>
      <c r="F40" s="12"/>
      <c r="G40" s="11" t="s">
        <v>337</v>
      </c>
      <c r="H40" s="39" t="s">
        <v>301</v>
      </c>
      <c r="I40" s="12"/>
      <c r="J40" s="12"/>
      <c r="K40" s="12"/>
      <c r="L40" s="12"/>
      <c r="M40" s="12"/>
      <c r="N40" s="12"/>
      <c r="O40" s="12"/>
      <c r="P40" s="12"/>
    </row>
    <row r="41" spans="2:16" x14ac:dyDescent="0.2">
      <c r="B41" s="269" t="s">
        <v>170</v>
      </c>
      <c r="C41" s="218">
        <f>IF(' Alt Calc - Refined Products'!$F$2=TRUE,' Alt Calc - Refined Products'!D11,Dashboard!C18)</f>
        <v>995</v>
      </c>
      <c r="D41" s="25" t="str">
        <f>IF(' Alt Calc - Refined Products'!$F$2=TRUE,"Uses 'Refined Product - Alt Calc' tab product volume","Uses 'Dashboard' tab product volume")</f>
        <v>Uses 'Dashboard' tab product volume</v>
      </c>
      <c r="G41" s="33">
        <f>IF(SUM($C$41:$C$45)&gt;0,C41/SUM($C$41:$C$45),0)</f>
        <v>0.36420204978038068</v>
      </c>
      <c r="H41" s="25" t="s">
        <v>338</v>
      </c>
    </row>
    <row r="42" spans="2:16" x14ac:dyDescent="0.2">
      <c r="B42" s="247" t="s">
        <v>172</v>
      </c>
      <c r="C42" s="9">
        <f>IF(' Alt Calc - Refined Products'!$F$2=TRUE,' Alt Calc - Refined Products'!D12,Dashboard!C19)</f>
        <v>699</v>
      </c>
      <c r="D42" s="25" t="str">
        <f>IF(' Alt Calc - Refined Products'!$F$2=TRUE,"Uses 'Refined Product - Alt Calc' tab product volume","Uses 'Dashboard' tab product volume")</f>
        <v>Uses 'Dashboard' tab product volume</v>
      </c>
      <c r="G42" s="34">
        <f>IF(SUM($C$41:$C$45)&gt;0,C42/SUM($C$41:$C$45),0)</f>
        <v>0.25585651537335286</v>
      </c>
      <c r="H42" s="25" t="s">
        <v>338</v>
      </c>
    </row>
    <row r="43" spans="2:16" x14ac:dyDescent="0.2">
      <c r="B43" s="247" t="s">
        <v>174</v>
      </c>
      <c r="C43" s="9">
        <f>IF(' Alt Calc - Refined Products'!$F$2=TRUE,' Alt Calc - Refined Products'!D13,Dashboard!C20)</f>
        <v>494</v>
      </c>
      <c r="D43" s="25" t="str">
        <f>IF(' Alt Calc - Refined Products'!$F$2=TRUE,"Uses 'Refined Product - Alt Calc' tab product volume","Uses 'Dashboard' tab product volume")</f>
        <v>Uses 'Dashboard' tab product volume</v>
      </c>
      <c r="G43" s="34">
        <f>IF(SUM($C$41:$C$45)&gt;0,C43/SUM($C$41:$C$45),0)</f>
        <v>0.18081991215226939</v>
      </c>
      <c r="H43" s="25" t="s">
        <v>338</v>
      </c>
    </row>
    <row r="44" spans="2:16" x14ac:dyDescent="0.2">
      <c r="B44" s="247" t="s">
        <v>175</v>
      </c>
      <c r="C44" s="9">
        <f>IF(' Alt Calc - Refined Products'!$F$2=TRUE,' Alt Calc - Refined Products'!D14,Dashboard!C21)</f>
        <v>205</v>
      </c>
      <c r="D44" s="25" t="str">
        <f>IF(' Alt Calc - Refined Products'!$F$2=TRUE,"Uses 'Refined Product - Alt Calc' tab product volume","Uses 'Dashboard' tab product volume")</f>
        <v>Uses 'Dashboard' tab product volume</v>
      </c>
      <c r="G44" s="34">
        <f>IF(SUM($C$41:$C$45)&gt;0,C44/SUM($C$41:$C$45),0)</f>
        <v>7.503660322108345E-2</v>
      </c>
      <c r="H44" s="25" t="s">
        <v>338</v>
      </c>
    </row>
    <row r="45" spans="2:16" x14ac:dyDescent="0.2">
      <c r="B45" s="270" t="s">
        <v>202</v>
      </c>
      <c r="C45" s="219">
        <f>IF(' Alt Calc - Refined Products'!$F$2=TRUE,' Alt Calc - Refined Products'!D15,Dashboard!C22)</f>
        <v>339</v>
      </c>
      <c r="D45" s="29" t="str">
        <f>IF(' Alt Calc - Refined Products'!$F$2=TRUE,"Uses 'Refined Product - Alt Calc' tab product volume","Uses 'Dashboard' tab product volume")</f>
        <v>Uses 'Dashboard' tab product volume</v>
      </c>
      <c r="E45" s="15"/>
      <c r="F45" s="15"/>
      <c r="G45" s="35">
        <f>IF(SUM($C$41:$C$45)&gt;0,C45/SUM($C$41:$C$45),0)</f>
        <v>0.12408491947291361</v>
      </c>
      <c r="H45" s="29" t="s">
        <v>338</v>
      </c>
      <c r="I45" s="261"/>
      <c r="J45" s="261"/>
      <c r="K45" s="261"/>
      <c r="L45" s="261"/>
      <c r="M45" s="261"/>
      <c r="N45" s="261"/>
      <c r="O45" s="261"/>
      <c r="P45" s="261"/>
    </row>
    <row r="46" spans="2:16" x14ac:dyDescent="0.2">
      <c r="B46" s="13"/>
      <c r="C46" s="241"/>
      <c r="D46" s="271"/>
      <c r="E46" s="218"/>
      <c r="G46" s="272"/>
      <c r="H46" s="13"/>
      <c r="I46" s="273"/>
    </row>
    <row r="47" spans="2:16" ht="40.35" customHeight="1" x14ac:dyDescent="0.2">
      <c r="B47" s="30" t="s">
        <v>339</v>
      </c>
      <c r="C47" s="11" t="s">
        <v>149</v>
      </c>
      <c r="D47" s="49" t="s">
        <v>301</v>
      </c>
      <c r="E47" s="274"/>
      <c r="F47" s="274"/>
      <c r="G47" s="11" t="s">
        <v>337</v>
      </c>
      <c r="H47" s="49" t="s">
        <v>301</v>
      </c>
      <c r="I47" s="274"/>
      <c r="J47" s="261"/>
      <c r="K47" s="261"/>
      <c r="L47" s="261"/>
      <c r="M47" s="261"/>
      <c r="N47" s="261"/>
      <c r="O47" s="261"/>
      <c r="P47" s="261"/>
    </row>
    <row r="48" spans="2:16" x14ac:dyDescent="0.2">
      <c r="B48" s="269" t="s">
        <v>170</v>
      </c>
      <c r="C48" s="275">
        <f>$C$37*' Alt Calc - Refined Products'!C11</f>
        <v>0</v>
      </c>
      <c r="D48" s="190" t="s">
        <v>340</v>
      </c>
      <c r="G48" s="33">
        <f>IF(SUM($C$48:$C$52)&gt;0,C48/SUM($C$48:$C$52),0)</f>
        <v>0</v>
      </c>
      <c r="H48" s="25" t="s">
        <v>341</v>
      </c>
    </row>
    <row r="49" spans="2:16" x14ac:dyDescent="0.2">
      <c r="B49" s="247" t="s">
        <v>172</v>
      </c>
      <c r="C49" s="264">
        <f>$C$37*' Alt Calc - Refined Products'!C12</f>
        <v>0</v>
      </c>
      <c r="D49" s="190" t="s">
        <v>340</v>
      </c>
      <c r="G49" s="34">
        <f>IF(SUM($C$48:$C$52)&gt;0,C49/SUM($C$48:$C$52),0)</f>
        <v>0</v>
      </c>
      <c r="H49" s="25" t="s">
        <v>341</v>
      </c>
    </row>
    <row r="50" spans="2:16" x14ac:dyDescent="0.2">
      <c r="B50" s="247" t="s">
        <v>174</v>
      </c>
      <c r="C50" s="264">
        <f>$C$37*' Alt Calc - Refined Products'!C13</f>
        <v>0</v>
      </c>
      <c r="D50" s="190" t="s">
        <v>340</v>
      </c>
      <c r="G50" s="34">
        <f>IF(SUM($C$48:$C$52)&gt;0,C50/SUM($C$48:$C$52),0)</f>
        <v>0</v>
      </c>
      <c r="H50" s="25" t="s">
        <v>342</v>
      </c>
    </row>
    <row r="51" spans="2:16" x14ac:dyDescent="0.2">
      <c r="B51" s="247" t="s">
        <v>175</v>
      </c>
      <c r="C51" s="264">
        <f>$C$37*' Alt Calc - Refined Products'!C14</f>
        <v>0</v>
      </c>
      <c r="D51" s="190" t="s">
        <v>340</v>
      </c>
      <c r="G51" s="34">
        <f>IF(SUM($C$48:$C$52)&gt;0,C51/SUM($C$48:$C$52),0)</f>
        <v>0</v>
      </c>
      <c r="H51" s="25" t="s">
        <v>343</v>
      </c>
    </row>
    <row r="52" spans="2:16" x14ac:dyDescent="0.2">
      <c r="B52" s="270" t="s">
        <v>202</v>
      </c>
      <c r="C52" s="276">
        <f>$C$37*' Alt Calc - Refined Products'!C15</f>
        <v>0</v>
      </c>
      <c r="D52" s="211" t="s">
        <v>340</v>
      </c>
      <c r="E52" s="276"/>
      <c r="F52" s="274"/>
      <c r="G52" s="35">
        <f>IF(SUM($C$48:$C$52)&gt;0,C52/SUM($C$48:$C$52),0)</f>
        <v>0</v>
      </c>
      <c r="H52" s="29" t="s">
        <v>341</v>
      </c>
      <c r="I52" s="261"/>
      <c r="J52" s="261"/>
      <c r="K52" s="261"/>
      <c r="L52" s="261"/>
      <c r="M52" s="261"/>
      <c r="N52" s="261"/>
      <c r="O52" s="261"/>
      <c r="P52" s="261"/>
    </row>
    <row r="53" spans="2:16" x14ac:dyDescent="0.2">
      <c r="B53" s="13"/>
      <c r="E53" s="272"/>
      <c r="F53" s="272"/>
    </row>
    <row r="54" spans="2:16" ht="57" x14ac:dyDescent="0.3">
      <c r="B54" s="30" t="s">
        <v>275</v>
      </c>
      <c r="C54" s="14" t="s">
        <v>344</v>
      </c>
      <c r="D54" s="14" t="s">
        <v>345</v>
      </c>
      <c r="E54" s="14" t="s">
        <v>346</v>
      </c>
      <c r="F54" s="212" t="s">
        <v>500</v>
      </c>
      <c r="G54" s="49" t="s">
        <v>301</v>
      </c>
      <c r="H54" s="261"/>
      <c r="I54" s="261"/>
      <c r="J54" s="261"/>
      <c r="K54" s="261"/>
      <c r="L54" s="261"/>
      <c r="M54" s="261"/>
      <c r="N54" s="261"/>
    </row>
    <row r="55" spans="2:16" x14ac:dyDescent="0.2">
      <c r="B55" s="269" t="s">
        <v>170</v>
      </c>
      <c r="C55" s="36">
        <f>IF(Dashboard!$Q$2=TRUE,Factors!D77,Factors!D87)</f>
        <v>5250000</v>
      </c>
      <c r="D55" s="36">
        <f>IF(Dashboard!$Q$2=TRUE,Factors!E77,Factors!E87)</f>
        <v>4990000</v>
      </c>
      <c r="E55" s="149">
        <f>IF(Dashboard!$Q$2=TRUE,Factors!F77,Factors!F87)</f>
        <v>7.1542999999999995E-2</v>
      </c>
      <c r="F55" s="277">
        <f>E55*C55/1000</f>
        <v>375.60075000000001</v>
      </c>
      <c r="G55" s="25" t="s">
        <v>347</v>
      </c>
    </row>
    <row r="56" spans="2:16" x14ac:dyDescent="0.2">
      <c r="B56" s="247" t="s">
        <v>172</v>
      </c>
      <c r="C56" s="37">
        <f>IF(Dashboard!$Q$2=TRUE,Factors!D78,Factors!D88)</f>
        <v>5830000</v>
      </c>
      <c r="D56" s="37">
        <f>IF(Dashboard!$Q$2=TRUE,Factors!E78,Factors!E88)</f>
        <v>5530000</v>
      </c>
      <c r="E56" s="150">
        <f>IF(Dashboard!$Q$2=TRUE,Factors!F78,Factors!F88)</f>
        <v>7.4442999999999995E-2</v>
      </c>
      <c r="F56" s="278">
        <f>E56*C56/1000</f>
        <v>434.00268999999992</v>
      </c>
      <c r="G56" s="25" t="s">
        <v>347</v>
      </c>
    </row>
    <row r="57" spans="2:16" x14ac:dyDescent="0.2">
      <c r="B57" s="247" t="s">
        <v>174</v>
      </c>
      <c r="C57" s="37">
        <f>IF(Dashboard!$Q$2=TRUE,Factors!D79,Factors!D89)</f>
        <v>5670000</v>
      </c>
      <c r="D57" s="37">
        <f>IF(Dashboard!$Q$2=TRUE,Factors!E79,Factors!E89)</f>
        <v>5390000</v>
      </c>
      <c r="E57" s="150">
        <f>IF(Dashboard!$Q$2=TRUE,Factors!F79,Factors!F89)</f>
        <v>7.2442999999999994E-2</v>
      </c>
      <c r="F57" s="278">
        <f>E57*C57/1000</f>
        <v>410.75180999999992</v>
      </c>
      <c r="G57" s="25" t="s">
        <v>347</v>
      </c>
    </row>
    <row r="58" spans="2:16" x14ac:dyDescent="0.2">
      <c r="B58" s="247" t="s">
        <v>175</v>
      </c>
      <c r="C58" s="37">
        <f>IF(Dashboard!$Q$2=TRUE,Factors!D80,Factors!D90)</f>
        <v>6290000</v>
      </c>
      <c r="D58" s="37">
        <f>IF(Dashboard!$Q$2=TRUE,Factors!E80,Factors!E90)</f>
        <v>5970000</v>
      </c>
      <c r="E58" s="150">
        <f>IF(Dashboard!$Q$2=TRUE,Factors!F80,Factors!F90)</f>
        <v>7.5243000000000004E-2</v>
      </c>
      <c r="F58" s="278">
        <f>E58*C58/1000</f>
        <v>473.27847000000003</v>
      </c>
      <c r="G58" s="25" t="s">
        <v>347</v>
      </c>
    </row>
    <row r="59" spans="2:16" x14ac:dyDescent="0.2">
      <c r="B59" s="270" t="s">
        <v>202</v>
      </c>
      <c r="C59" s="38">
        <f>IF(Dashboard!$Q$2=TRUE,Factors!D81,Factors!D91)</f>
        <v>5800000</v>
      </c>
      <c r="D59" s="38">
        <f>IF(Dashboard!$Q$2=TRUE,Factors!E81,Factors!E91)</f>
        <v>5510000</v>
      </c>
      <c r="E59" s="151">
        <f>IF(Dashboard!$Q$2=TRUE,Factors!F81,Factors!F91)</f>
        <v>7.4743000000000004E-2</v>
      </c>
      <c r="F59" s="279">
        <f>E59*C59/1000</f>
        <v>433.50940000000003</v>
      </c>
      <c r="G59" s="29" t="s">
        <v>347</v>
      </c>
      <c r="H59" s="261"/>
      <c r="I59" s="261"/>
      <c r="J59" s="261"/>
      <c r="K59" s="261"/>
      <c r="L59" s="261"/>
      <c r="M59" s="261"/>
      <c r="N59" s="261"/>
    </row>
    <row r="60" spans="2:16" x14ac:dyDescent="0.2">
      <c r="B60" s="16" t="str">
        <f>IF(Dashboard!$Q$2=TRUE,Factors!C82,Factors!C92)</f>
        <v xml:space="preserve">a  Source: API Compendium (2021) Table 3-8 for Densities, Higher Heating Values, and Carbon Contents for Various fuels     
</v>
      </c>
      <c r="G60" s="272"/>
      <c r="H60" s="13"/>
    </row>
    <row r="61" spans="2:16" x14ac:dyDescent="0.2">
      <c r="B61" s="16" t="str">
        <f>IF(Dashboard!$Q$2=TRUE,Factors!C83,Factors!C93)</f>
        <v>b  Source: API Compendium (2021) Tables 4-3 and 4-6 for CO2e Combustion Emission Factors for Common Industry Fuel Types. Assumed GWPs for CH4 and N2O are 28 and 265, respectively.</v>
      </c>
      <c r="G61" s="280"/>
      <c r="H61" s="11"/>
    </row>
    <row r="63" spans="2:16" ht="41.25" x14ac:dyDescent="0.3">
      <c r="B63" s="30" t="s">
        <v>348</v>
      </c>
      <c r="C63" s="14" t="s">
        <v>349</v>
      </c>
      <c r="D63" s="14" t="s">
        <v>350</v>
      </c>
      <c r="E63" s="212" t="s">
        <v>501</v>
      </c>
      <c r="F63" s="49" t="s">
        <v>301</v>
      </c>
      <c r="G63" s="261"/>
      <c r="H63" s="261"/>
      <c r="I63" s="261"/>
      <c r="J63" s="261"/>
      <c r="K63" s="261"/>
      <c r="L63" s="261"/>
      <c r="M63" s="261"/>
    </row>
    <row r="64" spans="2:16" x14ac:dyDescent="0.2">
      <c r="B64" s="269" t="s">
        <v>170</v>
      </c>
      <c r="C64" s="275">
        <f>C55*$G41</f>
        <v>1912060.7613469986</v>
      </c>
      <c r="D64" s="275">
        <f t="shared" ref="C64:D68" si="0">D55*$G41</f>
        <v>1817368.2284040996</v>
      </c>
      <c r="E64" s="281">
        <f>F55*$G41</f>
        <v>136.79456304904832</v>
      </c>
      <c r="F64" s="190" t="s">
        <v>351</v>
      </c>
    </row>
    <row r="65" spans="2:16" x14ac:dyDescent="0.2">
      <c r="B65" s="247" t="s">
        <v>172</v>
      </c>
      <c r="C65" s="264">
        <f>C56*$G42</f>
        <v>1491643.4846266471</v>
      </c>
      <c r="D65" s="264">
        <f t="shared" si="0"/>
        <v>1414886.5300146414</v>
      </c>
      <c r="E65" s="282">
        <f>F56*$G42</f>
        <v>111.04241592606147</v>
      </c>
      <c r="F65" s="190" t="s">
        <v>351</v>
      </c>
    </row>
    <row r="66" spans="2:16" x14ac:dyDescent="0.2">
      <c r="B66" s="247" t="s">
        <v>174</v>
      </c>
      <c r="C66" s="264">
        <f t="shared" si="0"/>
        <v>1025248.9019033675</v>
      </c>
      <c r="D66" s="264">
        <f t="shared" si="0"/>
        <v>974619.32650073199</v>
      </c>
      <c r="E66" s="282">
        <f>F57*$G43</f>
        <v>74.27210620058564</v>
      </c>
      <c r="F66" s="25" t="s">
        <v>351</v>
      </c>
    </row>
    <row r="67" spans="2:16" x14ac:dyDescent="0.2">
      <c r="B67" s="247" t="s">
        <v>175</v>
      </c>
      <c r="C67" s="264">
        <f>C58*$G44</f>
        <v>471980.2342606149</v>
      </c>
      <c r="D67" s="264">
        <f t="shared" si="0"/>
        <v>447968.52122986817</v>
      </c>
      <c r="E67" s="282">
        <f>F58*$G44</f>
        <v>35.51320876647145</v>
      </c>
      <c r="F67" s="190" t="s">
        <v>351</v>
      </c>
    </row>
    <row r="68" spans="2:16" x14ac:dyDescent="0.2">
      <c r="B68" s="270" t="s">
        <v>202</v>
      </c>
      <c r="C68" s="276">
        <f t="shared" si="0"/>
        <v>719692.53294289892</v>
      </c>
      <c r="D68" s="276">
        <f t="shared" si="0"/>
        <v>683707.90629575402</v>
      </c>
      <c r="E68" s="283">
        <f>F59*$G45</f>
        <v>53.791978989751101</v>
      </c>
      <c r="F68" s="211" t="s">
        <v>351</v>
      </c>
      <c r="G68" s="261"/>
      <c r="H68" s="261"/>
      <c r="I68" s="261"/>
      <c r="J68" s="261"/>
      <c r="K68" s="261"/>
      <c r="L68" s="261"/>
      <c r="M68" s="261"/>
    </row>
    <row r="69" spans="2:16" x14ac:dyDescent="0.2">
      <c r="B69" s="13" t="s">
        <v>352</v>
      </c>
      <c r="C69" s="264">
        <f>SUM(C64:C68)</f>
        <v>5620625.9150805268</v>
      </c>
      <c r="D69" s="264">
        <f>SUM(D64:D68)</f>
        <v>5338550.512445095</v>
      </c>
      <c r="E69" s="282">
        <f>SUM(E64:E68)</f>
        <v>411.41427293191799</v>
      </c>
    </row>
    <row r="70" spans="2:16" x14ac:dyDescent="0.2">
      <c r="C70" s="264"/>
      <c r="D70" s="264"/>
      <c r="E70" s="282"/>
    </row>
    <row r="71" spans="2:16" ht="41.25" x14ac:dyDescent="0.3">
      <c r="B71" s="30" t="s">
        <v>353</v>
      </c>
      <c r="C71" s="14" t="s">
        <v>349</v>
      </c>
      <c r="D71" s="14" t="s">
        <v>350</v>
      </c>
      <c r="E71" s="11" t="s">
        <v>354</v>
      </c>
      <c r="F71" s="49" t="s">
        <v>301</v>
      </c>
      <c r="G71" s="261"/>
      <c r="H71" s="261"/>
      <c r="I71" s="261"/>
      <c r="J71" s="261"/>
      <c r="K71" s="261"/>
      <c r="L71" s="261"/>
      <c r="M71" s="261"/>
    </row>
    <row r="72" spans="2:16" x14ac:dyDescent="0.2">
      <c r="B72" s="269" t="s">
        <v>170</v>
      </c>
      <c r="C72" s="275">
        <f t="shared" ref="C72:D76" si="1">C55*$G48</f>
        <v>0</v>
      </c>
      <c r="D72" s="275">
        <f t="shared" si="1"/>
        <v>0</v>
      </c>
      <c r="E72" s="281">
        <f>F55*$G48</f>
        <v>0</v>
      </c>
      <c r="F72" s="190" t="s">
        <v>355</v>
      </c>
    </row>
    <row r="73" spans="2:16" x14ac:dyDescent="0.2">
      <c r="B73" s="247" t="s">
        <v>172</v>
      </c>
      <c r="C73" s="264">
        <f t="shared" si="1"/>
        <v>0</v>
      </c>
      <c r="D73" s="264">
        <f t="shared" si="1"/>
        <v>0</v>
      </c>
      <c r="E73" s="282">
        <f>F56*$G49</f>
        <v>0</v>
      </c>
      <c r="F73" s="190" t="s">
        <v>355</v>
      </c>
    </row>
    <row r="74" spans="2:16" x14ac:dyDescent="0.2">
      <c r="B74" s="247" t="s">
        <v>174</v>
      </c>
      <c r="C74" s="264">
        <f t="shared" si="1"/>
        <v>0</v>
      </c>
      <c r="D74" s="264">
        <f t="shared" si="1"/>
        <v>0</v>
      </c>
      <c r="E74" s="282">
        <f>F57*$G50</f>
        <v>0</v>
      </c>
      <c r="F74" s="190" t="s">
        <v>355</v>
      </c>
    </row>
    <row r="75" spans="2:16" x14ac:dyDescent="0.2">
      <c r="B75" s="247" t="s">
        <v>175</v>
      </c>
      <c r="C75" s="264">
        <f t="shared" si="1"/>
        <v>0</v>
      </c>
      <c r="D75" s="264">
        <f t="shared" si="1"/>
        <v>0</v>
      </c>
      <c r="E75" s="282">
        <f>F58*$G51</f>
        <v>0</v>
      </c>
      <c r="F75" s="190" t="s">
        <v>355</v>
      </c>
    </row>
    <row r="76" spans="2:16" x14ac:dyDescent="0.2">
      <c r="B76" s="270" t="s">
        <v>202</v>
      </c>
      <c r="C76" s="276">
        <f t="shared" si="1"/>
        <v>0</v>
      </c>
      <c r="D76" s="276">
        <f t="shared" si="1"/>
        <v>0</v>
      </c>
      <c r="E76" s="283">
        <f>F59*$G52</f>
        <v>0</v>
      </c>
      <c r="F76" s="211" t="s">
        <v>355</v>
      </c>
      <c r="G76" s="261"/>
      <c r="H76" s="261"/>
      <c r="I76" s="261"/>
      <c r="J76" s="261"/>
      <c r="K76" s="261"/>
      <c r="L76" s="261"/>
      <c r="M76" s="261"/>
    </row>
    <row r="77" spans="2:16" x14ac:dyDescent="0.2">
      <c r="B77" s="13" t="s">
        <v>352</v>
      </c>
      <c r="C77" s="264">
        <f>SUM(C72:C76)</f>
        <v>0</v>
      </c>
      <c r="D77" s="264">
        <f>SUM(D72:D76)</f>
        <v>0</v>
      </c>
      <c r="E77" s="282">
        <f>SUM(E72:E76)</f>
        <v>0</v>
      </c>
    </row>
    <row r="79" spans="2:16" ht="13.5" thickBot="1" x14ac:dyDescent="0.25">
      <c r="B79" s="42" t="s">
        <v>356</v>
      </c>
      <c r="C79" s="42"/>
      <c r="D79" s="42"/>
      <c r="E79" s="20"/>
      <c r="F79" s="20"/>
      <c r="G79" s="20"/>
      <c r="H79" s="20"/>
      <c r="I79" s="20"/>
      <c r="J79" s="20"/>
      <c r="K79" s="20"/>
      <c r="L79" s="20"/>
      <c r="M79" s="20"/>
      <c r="N79" s="20"/>
      <c r="O79" s="20"/>
      <c r="P79" s="20"/>
    </row>
    <row r="80" spans="2:16" ht="45" customHeight="1" x14ac:dyDescent="0.2">
      <c r="B80" s="54" t="s">
        <v>357</v>
      </c>
      <c r="C80" s="15" t="s">
        <v>358</v>
      </c>
      <c r="D80" s="54" t="s">
        <v>149</v>
      </c>
      <c r="E80" s="10"/>
      <c r="F80" s="268"/>
    </row>
    <row r="81" spans="2:16" ht="29.25" customHeight="1" x14ac:dyDescent="0.2">
      <c r="B81" s="284">
        <f>RANK(D81,$D$81:$D$87,0)+COUNTIF($D$81:D81,D81)-1</f>
        <v>1</v>
      </c>
      <c r="C81" s="192" t="s">
        <v>359</v>
      </c>
      <c r="D81" s="284">
        <f>MIN($C$30,$C$36)</f>
        <v>1469.066</v>
      </c>
      <c r="E81" s="264"/>
    </row>
    <row r="82" spans="2:16" ht="29.25" customHeight="1" x14ac:dyDescent="0.2">
      <c r="B82" s="284">
        <f>RANK(D82,$D$81:$D$87,0)+COUNTIF($D$81:D82,D82)-1</f>
        <v>5</v>
      </c>
      <c r="C82" s="192" t="s">
        <v>360</v>
      </c>
      <c r="D82" s="284">
        <f>MAX(0,$C$36-($C$30+$C$31+$C$33))</f>
        <v>0</v>
      </c>
      <c r="E82" s="264"/>
      <c r="F82" s="8"/>
    </row>
    <row r="83" spans="2:16" ht="29.25" customHeight="1" x14ac:dyDescent="0.2">
      <c r="B83" s="284">
        <f>RANK(D83,$D$81:$D$87,0)+COUNTIF($D$81:D83,D83)-1</f>
        <v>3</v>
      </c>
      <c r="C83" s="192" t="s">
        <v>361</v>
      </c>
      <c r="D83" s="284">
        <f>MAX(0,$C$36-($C$30+$C$32+$C$33))</f>
        <v>189.21399999999994</v>
      </c>
      <c r="E83" s="264"/>
    </row>
    <row r="84" spans="2:16" ht="29.25" customHeight="1" x14ac:dyDescent="0.2">
      <c r="B84" s="284">
        <f>RANK(D84,$D$81:$D$87,0)+COUNTIF($D$81:D84,D84)-1</f>
        <v>2</v>
      </c>
      <c r="C84" s="192" t="s">
        <v>362</v>
      </c>
      <c r="D84" s="284">
        <f>MAX(0,$C$36-($C$30+$C$31+$C$32))</f>
        <v>956.30638596491212</v>
      </c>
      <c r="E84" s="264"/>
    </row>
    <row r="85" spans="2:16" ht="29.25" customHeight="1" x14ac:dyDescent="0.2">
      <c r="B85" s="284">
        <f>RANK(D85,$D$81:$D$87,0)+COUNTIF($D$81:D85,D85)-1</f>
        <v>6</v>
      </c>
      <c r="C85" s="192" t="s">
        <v>363</v>
      </c>
      <c r="D85" s="284">
        <f>MAX(0,$C$30-$C$36)</f>
        <v>0</v>
      </c>
      <c r="E85" s="264"/>
    </row>
    <row r="86" spans="2:16" ht="29.25" customHeight="1" x14ac:dyDescent="0.2">
      <c r="B86" s="284">
        <f>RANK(D86,$D$81:$D$87,0)+COUNTIF($D$81:D86,D86)-1</f>
        <v>7</v>
      </c>
      <c r="C86" s="192" t="s">
        <v>364</v>
      </c>
      <c r="D86" s="284">
        <f>MAX(0,$C$32-$D$82)</f>
        <v>0</v>
      </c>
      <c r="E86" s="241"/>
    </row>
    <row r="87" spans="2:16" ht="29.25" customHeight="1" x14ac:dyDescent="0.2">
      <c r="B87" s="284">
        <f>RANK(D87,$D$81:$D$87,0)+COUNTIF($D$81:D87,D87)-1</f>
        <v>4</v>
      </c>
      <c r="C87" s="192" t="s">
        <v>365</v>
      </c>
      <c r="D87" s="284">
        <f>MAX(0,$C$31-$D$83)</f>
        <v>5.6843418860808015E-14</v>
      </c>
      <c r="E87" s="264"/>
    </row>
    <row r="88" spans="2:16" x14ac:dyDescent="0.2">
      <c r="B88" s="244"/>
      <c r="C88" s="18"/>
      <c r="D88" s="285"/>
      <c r="E88" s="241"/>
    </row>
    <row r="89" spans="2:16" ht="13.5" thickBot="1" x14ac:dyDescent="0.25">
      <c r="B89" s="42" t="s">
        <v>238</v>
      </c>
      <c r="C89" s="42"/>
      <c r="D89" s="42"/>
      <c r="E89" s="42"/>
      <c r="F89" s="42"/>
      <c r="G89" s="42"/>
      <c r="H89" s="42"/>
      <c r="I89" s="42"/>
      <c r="J89" s="20"/>
      <c r="K89" s="20"/>
      <c r="L89" s="20"/>
      <c r="M89" s="20"/>
      <c r="N89" s="20"/>
      <c r="O89" s="20"/>
      <c r="P89" s="20"/>
    </row>
    <row r="90" spans="2:16" ht="30" x14ac:dyDescent="0.3">
      <c r="B90" s="54" t="s">
        <v>241</v>
      </c>
      <c r="C90" s="54" t="s">
        <v>366</v>
      </c>
      <c r="D90" s="15" t="s">
        <v>367</v>
      </c>
      <c r="E90" s="55" t="s">
        <v>368</v>
      </c>
      <c r="F90" s="15"/>
      <c r="G90" s="15"/>
      <c r="H90" s="15" t="s">
        <v>369</v>
      </c>
      <c r="I90" s="15" t="s">
        <v>301</v>
      </c>
      <c r="J90" s="261"/>
      <c r="K90" s="261"/>
      <c r="L90" s="261"/>
      <c r="M90" s="261"/>
    </row>
    <row r="91" spans="2:16" x14ac:dyDescent="0.2">
      <c r="B91" s="241" t="s">
        <v>370</v>
      </c>
      <c r="C91" s="241" t="s">
        <v>371</v>
      </c>
      <c r="D91" s="9">
        <f>Dashboard!C13</f>
        <v>22.4</v>
      </c>
      <c r="E91" s="188" t="s">
        <v>309</v>
      </c>
      <c r="H91" s="258">
        <f>D91/$C$24</f>
        <v>21.072436500470367</v>
      </c>
      <c r="I91" s="190" t="s">
        <v>372</v>
      </c>
    </row>
    <row r="92" spans="2:16" x14ac:dyDescent="0.2">
      <c r="B92" s="241" t="s">
        <v>370</v>
      </c>
      <c r="C92" s="241" t="s">
        <v>373</v>
      </c>
      <c r="D92" s="41">
        <f>IF(Dashboard!$Q$2=TRUE,Factors!D37,Factors!F37)</f>
        <v>46</v>
      </c>
      <c r="E92" s="189" t="str">
        <f>IF(Dashboard!$Q$2=TRUE,Factors!E37,Factors!G37)</f>
        <v>Chevron internal analysis of IEA World Energy Outlook 2018</v>
      </c>
      <c r="H92" s="258">
        <f>D92/$C$24</f>
        <v>43.273753527751651</v>
      </c>
      <c r="I92" s="190" t="s">
        <v>372</v>
      </c>
    </row>
    <row r="93" spans="2:16" x14ac:dyDescent="0.2">
      <c r="B93" s="241" t="s">
        <v>374</v>
      </c>
      <c r="C93" s="241" t="s">
        <v>371</v>
      </c>
      <c r="D93" s="9">
        <f>Dashboard!C16</f>
        <v>36</v>
      </c>
      <c r="E93" s="188" t="s">
        <v>309</v>
      </c>
      <c r="H93" s="258">
        <f>D93/$C$24</f>
        <v>33.866415804327374</v>
      </c>
      <c r="I93" s="190" t="s">
        <v>372</v>
      </c>
    </row>
    <row r="94" spans="2:16" x14ac:dyDescent="0.2">
      <c r="B94" s="241" t="s">
        <v>374</v>
      </c>
      <c r="C94" s="241" t="s">
        <v>373</v>
      </c>
      <c r="D94" s="41">
        <f>IF(Dashboard!$Q$2=TRUE,Factors!D38,Factors!F38)</f>
        <v>33</v>
      </c>
      <c r="E94" s="189" t="str">
        <f>IF(Dashboard!$Q$2=TRUE,Factors!E38,Factors!G38)</f>
        <v>Chevron internal analysis of IEA World Energy Outlook 2018</v>
      </c>
      <c r="H94" s="258">
        <f>D94/$C$24</f>
        <v>31.044214487300096</v>
      </c>
      <c r="I94" s="190" t="s">
        <v>372</v>
      </c>
    </row>
    <row r="95" spans="2:16" x14ac:dyDescent="0.2">
      <c r="B95" s="241" t="s">
        <v>375</v>
      </c>
      <c r="C95" s="241" t="s">
        <v>376</v>
      </c>
      <c r="D95" s="41">
        <f>IF(Dashboard!$Q$2=TRUE,Factors!D39,Factors!F39)</f>
        <v>9.5</v>
      </c>
      <c r="E95" s="189" t="str">
        <f>IF(Dashboard!$Q$2=TRUE,Factors!E39,Factors!G39)</f>
        <v>Chevron internal analysis of IEA World Energy Outlook 2018</v>
      </c>
      <c r="H95" s="258">
        <f>D95/$C$24</f>
        <v>8.9369708372530585</v>
      </c>
      <c r="I95" s="190" t="s">
        <v>372</v>
      </c>
    </row>
    <row r="96" spans="2:16" x14ac:dyDescent="0.2">
      <c r="H96" s="316"/>
      <c r="I96" s="316"/>
    </row>
    <row r="97" spans="2:16" ht="13.5" customHeight="1" x14ac:dyDescent="0.2">
      <c r="D97" s="264"/>
      <c r="E97" s="268"/>
    </row>
    <row r="98" spans="2:16" ht="15.75" x14ac:dyDescent="0.3">
      <c r="B98" s="42" t="s">
        <v>377</v>
      </c>
      <c r="C98" s="42"/>
      <c r="D98" s="42"/>
      <c r="E98" s="42"/>
      <c r="F98" s="42" t="s">
        <v>378</v>
      </c>
      <c r="G98" s="207"/>
      <c r="H98" s="42"/>
      <c r="I98" s="42"/>
      <c r="J98" s="42"/>
      <c r="K98" s="42"/>
      <c r="L98" s="42"/>
      <c r="M98" s="42"/>
      <c r="N98" s="42"/>
      <c r="O98" s="42"/>
      <c r="P98" s="42"/>
    </row>
    <row r="99" spans="2:16" s="47" customFormat="1" ht="40.35" customHeight="1" x14ac:dyDescent="0.2">
      <c r="B99" s="373" t="s">
        <v>379</v>
      </c>
      <c r="C99" s="374"/>
      <c r="D99" s="374"/>
      <c r="E99" s="375"/>
      <c r="F99" s="45"/>
      <c r="G99" s="45"/>
      <c r="H99" s="45"/>
      <c r="I99" s="45"/>
      <c r="J99" s="46"/>
      <c r="K99" s="45"/>
      <c r="L99" s="45"/>
    </row>
    <row r="100" spans="2:16" ht="38.25" x14ac:dyDescent="0.2">
      <c r="B100" s="7" t="s">
        <v>380</v>
      </c>
      <c r="C100" s="11" t="s">
        <v>381</v>
      </c>
      <c r="D100" s="11" t="s">
        <v>382</v>
      </c>
      <c r="E100" s="11" t="s">
        <v>383</v>
      </c>
      <c r="F100" s="19" t="s">
        <v>384</v>
      </c>
      <c r="G100" s="11" t="s">
        <v>385</v>
      </c>
      <c r="H100" s="11" t="s">
        <v>386</v>
      </c>
      <c r="I100" s="11" t="s">
        <v>387</v>
      </c>
      <c r="J100" s="19" t="s">
        <v>388</v>
      </c>
      <c r="K100" s="11" t="s">
        <v>389</v>
      </c>
      <c r="L100" s="286"/>
    </row>
    <row r="101" spans="2:16" x14ac:dyDescent="0.2">
      <c r="B101" s="63" t="str">
        <f>VLOOKUP(COUNT($B$81:B81),$B$81:$C$87,2,FALSE)</f>
        <v>Company Produced + Company Refined + Company Marketed</v>
      </c>
      <c r="C101" s="275">
        <f>VLOOKUP(COUNT($B$81:B81),$B$81:$D$87,3,FALSE)</f>
        <v>1469.066</v>
      </c>
      <c r="D101" s="275">
        <f>C101*$C$25/1000/$C$26*IF(RIGHT(B101,16)="Company Marketed",$C$69,$C$77)</f>
        <v>3179760.1300206119</v>
      </c>
      <c r="E101" s="275">
        <f>C101*$C$25/1000/$C$26*IF(RIGHT(B101,16)="Company Marketed",$D$69,$D$77)</f>
        <v>3020181.4402961941</v>
      </c>
      <c r="F101" s="287">
        <f>IF(LEFT($B101,7)="Company",$H$91,$H$92)</f>
        <v>21.072436500470367</v>
      </c>
      <c r="G101" s="288">
        <f t="shared" ref="G101:G107" si="2">IF(IFERROR(SEARCH("Company Refined",B101),0)&gt;0,$H$93,$H$94)</f>
        <v>33.866415804327374</v>
      </c>
      <c r="H101" s="288">
        <f t="shared" ref="H101:H107" si="3">$H$95</f>
        <v>8.9369708372530585</v>
      </c>
      <c r="I101" s="288">
        <f t="shared" ref="I101:I107" si="4">IF(RIGHT(B101,16)="Company Marketed",$E$69,$E$77)</f>
        <v>411.41427293191799</v>
      </c>
      <c r="J101" s="287">
        <f>SUM(F101:I101)</f>
        <v>475.29009607396881</v>
      </c>
      <c r="K101" s="289">
        <f>C101*$J101*$C$25/1000000</f>
        <v>254.8548699018354</v>
      </c>
      <c r="L101" s="289"/>
    </row>
    <row r="102" spans="2:16" x14ac:dyDescent="0.2">
      <c r="B102" s="7" t="str">
        <f>VLOOKUP(COUNT($B$81:B82),$B$81:$C$87,2,FALSE)</f>
        <v>Third Party Produced + Third Party Refined + Company Marketed</v>
      </c>
      <c r="C102" s="264">
        <f>VLOOKUP(COUNT($B$81:B82),$B$81:$D$87,3,FALSE)</f>
        <v>956.30638596491212</v>
      </c>
      <c r="D102" s="264">
        <f>C102*$C$25/1000/$C$26*IF(RIGHT(B102,16)="Company Marketed",$C$69,$C$77)</f>
        <v>2069903.5429145666</v>
      </c>
      <c r="E102" s="264">
        <f t="shared" ref="E102:E107" si="5">C102*$C$25/1000/$C$26*IF(RIGHT(B102,16)="Company Marketed",$D$69,$D$77)</f>
        <v>1966023.8533380777</v>
      </c>
      <c r="F102" s="290">
        <f t="shared" ref="F102:F107" si="6">IF(LEFT($B102,7)="Company",$H$91,$H$92)</f>
        <v>43.273753527751651</v>
      </c>
      <c r="G102" s="258">
        <f t="shared" si="2"/>
        <v>31.044214487300096</v>
      </c>
      <c r="H102" s="258">
        <f t="shared" si="3"/>
        <v>8.9369708372530585</v>
      </c>
      <c r="I102" s="258">
        <f t="shared" si="4"/>
        <v>411.41427293191799</v>
      </c>
      <c r="J102" s="290">
        <f t="shared" ref="J102:J106" si="7">SUM(F102:I102)</f>
        <v>494.6692117842228</v>
      </c>
      <c r="K102" s="267">
        <f t="shared" ref="K102:K107" si="8">C102*$J102*$C$25/1000000</f>
        <v>172.66519405186088</v>
      </c>
      <c r="L102" s="267"/>
    </row>
    <row r="103" spans="2:16" x14ac:dyDescent="0.2">
      <c r="B103" s="7" t="str">
        <f>VLOOKUP(COUNT($B$81:B83),$B$81:$C$87,2,FALSE)</f>
        <v>Third Party Produced + Company Refined + Company Marketed</v>
      </c>
      <c r="C103" s="264">
        <f>VLOOKUP(COUNT($B$81:B83),$B$81:$D$87,3,FALSE)</f>
        <v>189.21399999999994</v>
      </c>
      <c r="D103" s="264">
        <f>C103*$C$25/1000/$C$26*IF(RIGHT(B103,16)="Company Marketed",$C$69,$C$77)</f>
        <v>409549.42340352305</v>
      </c>
      <c r="E103" s="264">
        <f t="shared" si="5"/>
        <v>388995.87291803362</v>
      </c>
      <c r="F103" s="290">
        <f t="shared" si="6"/>
        <v>43.273753527751651</v>
      </c>
      <c r="G103" s="258">
        <f t="shared" si="2"/>
        <v>33.866415804327374</v>
      </c>
      <c r="H103" s="258">
        <f>$H$95</f>
        <v>8.9369708372530585</v>
      </c>
      <c r="I103" s="258">
        <f t="shared" si="4"/>
        <v>411.41427293191799</v>
      </c>
      <c r="J103" s="290">
        <f t="shared" si="7"/>
        <v>497.49141310125009</v>
      </c>
      <c r="K103" s="267">
        <f t="shared" si="8"/>
        <v>34.35830418706707</v>
      </c>
      <c r="L103" s="267"/>
    </row>
    <row r="104" spans="2:16" x14ac:dyDescent="0.2">
      <c r="B104" s="7" t="str">
        <f>VLOOKUP(COUNT($B$81:B84),$B$81:$C$87,2,FALSE)</f>
        <v>Third Party Produced + Company Refined + Third Party Marketed</v>
      </c>
      <c r="C104" s="264">
        <f>VLOOKUP(COUNT($B$81:B84),$B$81:$D$87,3,FALSE)</f>
        <v>5.6843418860808015E-14</v>
      </c>
      <c r="D104" s="264">
        <f t="shared" ref="D104:D107" si="9">C104*$C$25/1000/$C$26*IF(RIGHT(B104,16)="Company Marketed",$C$69,$C$77)</f>
        <v>0</v>
      </c>
      <c r="E104" s="264">
        <f t="shared" si="5"/>
        <v>0</v>
      </c>
      <c r="F104" s="290">
        <f t="shared" si="6"/>
        <v>43.273753527751651</v>
      </c>
      <c r="G104" s="258">
        <f t="shared" si="2"/>
        <v>33.866415804327374</v>
      </c>
      <c r="H104" s="258">
        <f t="shared" si="3"/>
        <v>8.9369708372530585</v>
      </c>
      <c r="I104" s="258">
        <f t="shared" si="4"/>
        <v>0</v>
      </c>
      <c r="J104" s="290">
        <f t="shared" si="7"/>
        <v>86.077140169332083</v>
      </c>
      <c r="K104" s="267">
        <f t="shared" si="8"/>
        <v>1.7859154105398267E-15</v>
      </c>
      <c r="L104" s="267"/>
    </row>
    <row r="105" spans="2:16" x14ac:dyDescent="0.2">
      <c r="B105" s="7" t="str">
        <f>VLOOKUP(COUNT($B$81:B85),$B$81:$C$87,2,FALSE)</f>
        <v>Company Produced + Third Party Refined + Company Marketed</v>
      </c>
      <c r="C105" s="264">
        <f>VLOOKUP(COUNT($B$81:B85),$B$81:$D$87,3,FALSE)</f>
        <v>0</v>
      </c>
      <c r="D105" s="264">
        <f t="shared" si="9"/>
        <v>0</v>
      </c>
      <c r="E105" s="264">
        <f t="shared" si="5"/>
        <v>0</v>
      </c>
      <c r="F105" s="290">
        <f t="shared" si="6"/>
        <v>21.072436500470367</v>
      </c>
      <c r="G105" s="258">
        <f t="shared" si="2"/>
        <v>31.044214487300096</v>
      </c>
      <c r="H105" s="258">
        <f t="shared" si="3"/>
        <v>8.9369708372530585</v>
      </c>
      <c r="I105" s="258">
        <f t="shared" si="4"/>
        <v>411.41427293191799</v>
      </c>
      <c r="J105" s="290">
        <f t="shared" si="7"/>
        <v>472.46789475694152</v>
      </c>
      <c r="K105" s="267">
        <f t="shared" si="8"/>
        <v>0</v>
      </c>
      <c r="L105" s="267"/>
    </row>
    <row r="106" spans="2:16" x14ac:dyDescent="0.2">
      <c r="B106" s="7" t="str">
        <f>VLOOKUP(COUNT($B$81:B86),$B$81:$C$87,2,FALSE)</f>
        <v>Company Produced + Company Refined + Third Party Marketed</v>
      </c>
      <c r="C106" s="264">
        <f>VLOOKUP(COUNT($B$81:B86),$B$81:$D$87,3,FALSE)</f>
        <v>0</v>
      </c>
      <c r="D106" s="264">
        <f t="shared" si="9"/>
        <v>0</v>
      </c>
      <c r="E106" s="264">
        <f t="shared" si="5"/>
        <v>0</v>
      </c>
      <c r="F106" s="290">
        <f t="shared" si="6"/>
        <v>21.072436500470367</v>
      </c>
      <c r="G106" s="258">
        <f t="shared" si="2"/>
        <v>33.866415804327374</v>
      </c>
      <c r="H106" s="258">
        <f t="shared" si="3"/>
        <v>8.9369708372530585</v>
      </c>
      <c r="I106" s="258">
        <f t="shared" si="4"/>
        <v>0</v>
      </c>
      <c r="J106" s="290">
        <f t="shared" si="7"/>
        <v>63.875823142050798</v>
      </c>
      <c r="K106" s="267">
        <f t="shared" si="8"/>
        <v>0</v>
      </c>
      <c r="L106" s="267"/>
    </row>
    <row r="107" spans="2:16" x14ac:dyDescent="0.2">
      <c r="B107" s="164" t="str">
        <f>VLOOKUP(COUNT($B$81:B87),$B$81:$C$87,2,FALSE)</f>
        <v>Company Produced + Third Party Refined + Third Party Marketed</v>
      </c>
      <c r="C107" s="291">
        <f>VLOOKUP(COUNT($B$81:B87),$B$81:$D$87,3,FALSE)</f>
        <v>0</v>
      </c>
      <c r="D107" s="291">
        <f t="shared" si="9"/>
        <v>0</v>
      </c>
      <c r="E107" s="291">
        <f t="shared" si="5"/>
        <v>0</v>
      </c>
      <c r="F107" s="292">
        <f t="shared" si="6"/>
        <v>21.072436500470367</v>
      </c>
      <c r="G107" s="293">
        <f t="shared" si="2"/>
        <v>31.044214487300096</v>
      </c>
      <c r="H107" s="293">
        <f t="shared" si="3"/>
        <v>8.9369708372530585</v>
      </c>
      <c r="I107" s="293">
        <f t="shared" si="4"/>
        <v>0</v>
      </c>
      <c r="J107" s="292">
        <f>SUM(F107:I107)</f>
        <v>61.053621825023519</v>
      </c>
      <c r="K107" s="260">
        <f t="shared" si="8"/>
        <v>0</v>
      </c>
      <c r="L107" s="260"/>
    </row>
    <row r="108" spans="2:16" x14ac:dyDescent="0.2">
      <c r="B108" s="7"/>
      <c r="C108" s="264">
        <f>SUM(C101:C107)</f>
        <v>2614.5863859649121</v>
      </c>
      <c r="D108" s="264">
        <f>SUM(D101:D107)</f>
        <v>5659213.0963387014</v>
      </c>
      <c r="E108" s="264">
        <f>SUM(E101:E107)</f>
        <v>5375201.1665523052</v>
      </c>
      <c r="F108" s="290"/>
      <c r="G108" s="258"/>
      <c r="I108" s="258"/>
      <c r="J108" s="258"/>
      <c r="K108" s="267">
        <f>SUM(K101:K107)</f>
        <v>461.87836814076337</v>
      </c>
      <c r="L108" s="267"/>
      <c r="N108" s="47"/>
    </row>
    <row r="109" spans="2:16" x14ac:dyDescent="0.2">
      <c r="B109" s="250"/>
      <c r="C109" s="260"/>
      <c r="D109" s="250"/>
      <c r="E109" s="250"/>
      <c r="F109" s="294"/>
      <c r="G109" s="250"/>
      <c r="H109" s="250"/>
      <c r="I109" s="250"/>
      <c r="J109" s="250"/>
      <c r="K109" s="250"/>
      <c r="L109" s="250"/>
    </row>
    <row r="110" spans="2:16" x14ac:dyDescent="0.2">
      <c r="B110" s="50" t="s">
        <v>390</v>
      </c>
    </row>
    <row r="111" spans="2:16" ht="147" customHeight="1" x14ac:dyDescent="0.2">
      <c r="B111" s="51" t="s">
        <v>391</v>
      </c>
      <c r="C111" s="51" t="s">
        <v>392</v>
      </c>
      <c r="D111" s="51" t="s">
        <v>393</v>
      </c>
      <c r="E111" s="51" t="s">
        <v>394</v>
      </c>
      <c r="F111" s="51" t="s">
        <v>395</v>
      </c>
      <c r="G111" s="51" t="s">
        <v>396</v>
      </c>
      <c r="H111" s="51" t="s">
        <v>397</v>
      </c>
      <c r="I111" s="51" t="s">
        <v>398</v>
      </c>
      <c r="J111" s="51" t="s">
        <v>399</v>
      </c>
      <c r="K111" s="51" t="s">
        <v>400</v>
      </c>
      <c r="L111" s="25"/>
    </row>
  </sheetData>
  <sheetProtection selectLockedCells="1" selectUnlockedCells="1"/>
  <mergeCells count="2">
    <mergeCell ref="G18:K18"/>
    <mergeCell ref="B99:E99"/>
  </mergeCells>
  <phoneticPr fontId="3" type="noConversion"/>
  <hyperlinks>
    <hyperlink ref="G18:K18" location="' Alt Calc - Refined Products'!A1" display="  Use Alternative Calculation. Enter Input Total Refined Products by clicking here." xr:uid="{43A72F26-0E15-43DE-AB5A-A0D11C980084}"/>
  </hyperlinks>
  <pageMargins left="0.7" right="0.7" top="0.75" bottom="0.75" header="0.3" footer="0.3"/>
  <pageSetup scale="24" orientation="landscape" r:id="rId1"/>
  <ignoredErrors>
    <ignoredError sqref="C57:E59 D92:D95 C25:C26 D55 C56:E5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9471" r:id="rId4" name="Check Box 15">
              <controlPr defaultSize="0" autoFill="0" autoLine="0" autoPict="0" altText="">
                <anchor moveWithCells="1">
                  <from>
                    <xdr:col>6</xdr:col>
                    <xdr:colOff>447675</xdr:colOff>
                    <xdr:row>15</xdr:row>
                    <xdr:rowOff>171450</xdr:rowOff>
                  </from>
                  <to>
                    <xdr:col>6</xdr:col>
                    <xdr:colOff>657225</xdr:colOff>
                    <xdr:row>17</xdr:row>
                    <xdr:rowOff>142875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92D050"/>
  </sheetPr>
  <dimension ref="A1:P46"/>
  <sheetViews>
    <sheetView showGridLines="0" zoomScaleNormal="100" workbookViewId="0">
      <pane ySplit="1" topLeftCell="A16" activePane="bottomLeft" state="frozen"/>
      <selection activeCell="B1" sqref="B1"/>
      <selection pane="bottomLeft"/>
    </sheetView>
  </sheetViews>
  <sheetFormatPr defaultColWidth="0" defaultRowHeight="12.75" zeroHeight="1" x14ac:dyDescent="0.2"/>
  <cols>
    <col min="1" max="1" width="9.140625" style="222" customWidth="1"/>
    <col min="2" max="2" width="55.85546875" style="222" customWidth="1"/>
    <col min="3" max="3" width="18.85546875" style="222" customWidth="1"/>
    <col min="4" max="4" width="27.140625" style="222" customWidth="1"/>
    <col min="5" max="5" width="45.42578125" style="222" customWidth="1"/>
    <col min="6" max="6" width="33.85546875" style="222" customWidth="1"/>
    <col min="7" max="7" width="27.42578125" style="222" customWidth="1"/>
    <col min="8" max="8" width="39.85546875" style="222" bestFit="1" customWidth="1"/>
    <col min="9" max="9" width="37" style="222" customWidth="1"/>
    <col min="10" max="10" width="9.140625" style="222" customWidth="1"/>
    <col min="11" max="16" width="0" style="222" hidden="1" customWidth="1"/>
    <col min="17" max="16384" width="9.140625" style="222" hidden="1"/>
  </cols>
  <sheetData>
    <row r="1" spans="2:16" ht="99.75" customHeight="1" x14ac:dyDescent="0.2"/>
    <row r="2" spans="2:16" ht="26.25" x14ac:dyDescent="0.4">
      <c r="B2" s="6" t="s">
        <v>401</v>
      </c>
    </row>
    <row r="3" spans="2:16" x14ac:dyDescent="0.2">
      <c r="B3" s="27" t="s">
        <v>205</v>
      </c>
    </row>
    <row r="4" spans="2:16" x14ac:dyDescent="0.2"/>
    <row r="5" spans="2:16" ht="13.5" thickBot="1" x14ac:dyDescent="0.25">
      <c r="B5" s="48" t="s">
        <v>300</v>
      </c>
      <c r="C5" s="48"/>
      <c r="D5" s="48" t="s">
        <v>301</v>
      </c>
      <c r="E5" s="48"/>
      <c r="F5" s="48"/>
      <c r="G5" s="48"/>
      <c r="H5" s="48"/>
      <c r="I5" s="48"/>
      <c r="K5" s="48"/>
      <c r="L5" s="48"/>
      <c r="M5" s="48"/>
      <c r="N5" s="48"/>
      <c r="O5" s="48"/>
      <c r="P5" s="48"/>
    </row>
    <row r="6" spans="2:16" x14ac:dyDescent="0.2">
      <c r="B6" s="247" t="s">
        <v>151</v>
      </c>
      <c r="C6" s="258">
        <f>D38/1000000</f>
        <v>4.2709837183760149</v>
      </c>
      <c r="D6" s="25" t="s">
        <v>402</v>
      </c>
    </row>
    <row r="7" spans="2:16" ht="15.75" x14ac:dyDescent="0.3">
      <c r="B7" s="259" t="s">
        <v>303</v>
      </c>
      <c r="C7" s="260">
        <f>F38</f>
        <v>255.43289889226332</v>
      </c>
      <c r="D7" s="25" t="s">
        <v>403</v>
      </c>
    </row>
    <row r="8" spans="2:16" x14ac:dyDescent="0.2">
      <c r="B8" s="31" t="s">
        <v>305</v>
      </c>
      <c r="C8" s="32">
        <f>IF(C6&gt;0,C7/C6)</f>
        <v>59.8065728495421</v>
      </c>
      <c r="D8" s="25" t="s">
        <v>306</v>
      </c>
    </row>
    <row r="9" spans="2:16" x14ac:dyDescent="0.2"/>
    <row r="10" spans="2:16" x14ac:dyDescent="0.2">
      <c r="B10" s="42" t="s">
        <v>307</v>
      </c>
      <c r="C10" s="42"/>
      <c r="D10" s="42"/>
      <c r="E10" s="42"/>
      <c r="F10" s="42"/>
      <c r="G10" s="42"/>
      <c r="H10" s="42"/>
      <c r="I10" s="42"/>
    </row>
    <row r="11" spans="2:16" x14ac:dyDescent="0.2">
      <c r="B11" s="55" t="s">
        <v>308</v>
      </c>
      <c r="C11" s="54" t="s">
        <v>155</v>
      </c>
      <c r="D11" s="55" t="s">
        <v>301</v>
      </c>
      <c r="E11" s="55"/>
      <c r="F11" s="55"/>
      <c r="G11" s="55"/>
      <c r="H11" s="55"/>
      <c r="I11" s="55"/>
    </row>
    <row r="12" spans="2:16" x14ac:dyDescent="0.2">
      <c r="B12" s="247" t="s">
        <v>154</v>
      </c>
      <c r="C12" s="9">
        <f>Dashboard!C10</f>
        <v>7744</v>
      </c>
      <c r="D12" s="25" t="s">
        <v>309</v>
      </c>
    </row>
    <row r="13" spans="2:16" x14ac:dyDescent="0.2">
      <c r="B13" s="247" t="s">
        <v>404</v>
      </c>
      <c r="C13" s="9">
        <f>Dashboard!C11</f>
        <v>596</v>
      </c>
      <c r="D13" s="25" t="s">
        <v>309</v>
      </c>
    </row>
    <row r="14" spans="2:16" x14ac:dyDescent="0.2">
      <c r="B14" s="247" t="s">
        <v>405</v>
      </c>
      <c r="C14" s="9">
        <f>Dashboard!C24</f>
        <v>10695</v>
      </c>
      <c r="D14" s="25" t="s">
        <v>309</v>
      </c>
    </row>
    <row r="15" spans="2:16" x14ac:dyDescent="0.2">
      <c r="B15" s="247" t="s">
        <v>406</v>
      </c>
      <c r="C15" s="9">
        <f>Dashboard!C27</f>
        <v>0</v>
      </c>
      <c r="D15" s="25" t="s">
        <v>309</v>
      </c>
    </row>
    <row r="16" spans="2:16" x14ac:dyDescent="0.2"/>
    <row r="17" spans="2:9" x14ac:dyDescent="0.2">
      <c r="B17" s="42" t="s">
        <v>316</v>
      </c>
      <c r="C17" s="42"/>
      <c r="D17" s="42"/>
      <c r="E17" s="42"/>
      <c r="F17" s="42"/>
      <c r="G17" s="42"/>
      <c r="H17" s="42"/>
      <c r="I17" s="42"/>
    </row>
    <row r="18" spans="2:9" x14ac:dyDescent="0.2">
      <c r="B18" s="55" t="s">
        <v>54</v>
      </c>
      <c r="C18" s="54" t="s">
        <v>317</v>
      </c>
      <c r="D18" s="55" t="s">
        <v>207</v>
      </c>
      <c r="E18" s="261"/>
      <c r="F18" s="261"/>
      <c r="G18" s="261"/>
      <c r="H18" s="261"/>
      <c r="I18" s="261"/>
    </row>
    <row r="19" spans="2:9" x14ac:dyDescent="0.2">
      <c r="B19" s="247" t="s">
        <v>223</v>
      </c>
      <c r="C19" s="9">
        <f>IF(Dashboard!$Q$2=TRUE,Factors!D18,Factors!F18)</f>
        <v>1037</v>
      </c>
      <c r="D19" s="194" t="str">
        <f>IF(Dashboard!$Q$2=TRUE,Factors!E18,Factors!G18)</f>
        <v>EIA factor based on average value delivered to U.S. consumers in 2021: 
https://www.eia.gov/energyexplained/units-and-calculators/energy-conversion-calculators.php</v>
      </c>
    </row>
    <row r="20" spans="2:9" x14ac:dyDescent="0.2">
      <c r="B20" s="247" t="s">
        <v>225</v>
      </c>
      <c r="C20" s="9">
        <f>IF(Dashboard!$Q$2=TRUE,Factors!D19,Factors!F19)</f>
        <v>933</v>
      </c>
      <c r="D20" s="194" t="str">
        <f>IF(Dashboard!$Q$2=TRUE,Factors!E19,Factors!G19)</f>
        <v>LHV assumed to be ~90% of NG HHV above, per note under API Compendium (2021) Table 3-8</v>
      </c>
    </row>
    <row r="21" spans="2:9" x14ac:dyDescent="0.2">
      <c r="B21" s="247" t="s">
        <v>318</v>
      </c>
      <c r="C21" s="9">
        <f>IF(Dashboard!$Q$2=TRUE,Factors!D10,Factors!F10)</f>
        <v>365</v>
      </c>
      <c r="D21" s="196" t="str">
        <f>IF(Dashboard!$Q$2=TRUE,Factors!E10,Factors!G10)</f>
        <v>Days in the year (non-leap year)</v>
      </c>
    </row>
    <row r="22" spans="2:9" x14ac:dyDescent="0.2">
      <c r="B22" s="247" t="s">
        <v>212</v>
      </c>
      <c r="C22" s="9">
        <f>IF(Dashboard!$Q$2=TRUE,Factors!D11,Factors!F11)</f>
        <v>947.81700000000001</v>
      </c>
      <c r="D22" s="194" t="str">
        <f>IF(Dashboard!$Q$2=TRUE,Factors!E11,Factors!G11)</f>
        <v>Unit conversion</v>
      </c>
    </row>
    <row r="23" spans="2:9" x14ac:dyDescent="0.2">
      <c r="B23" s="247" t="s">
        <v>227</v>
      </c>
      <c r="C23" s="9">
        <f>IF(Dashboard!$Q$2=TRUE,Factors!D20,Factors!F20)</f>
        <v>6</v>
      </c>
      <c r="D23" s="194" t="str">
        <f>IF(Dashboard!$Q$2=TRUE,Factors!E20,Factors!G20)</f>
        <v>Unit conversion</v>
      </c>
    </row>
    <row r="24" spans="2:9" x14ac:dyDescent="0.2"/>
    <row r="25" spans="2:9" x14ac:dyDescent="0.2">
      <c r="B25" s="42" t="s">
        <v>238</v>
      </c>
      <c r="C25" s="42"/>
      <c r="D25" s="42"/>
      <c r="E25" s="42"/>
      <c r="F25" s="42"/>
      <c r="G25" s="42"/>
      <c r="H25" s="42"/>
      <c r="I25" s="42"/>
    </row>
    <row r="26" spans="2:9" x14ac:dyDescent="0.2">
      <c r="B26" s="54" t="s">
        <v>246</v>
      </c>
      <c r="C26" s="54" t="s">
        <v>317</v>
      </c>
      <c r="D26" s="54" t="s">
        <v>146</v>
      </c>
      <c r="E26" s="55" t="s">
        <v>207</v>
      </c>
      <c r="F26" s="54" t="s">
        <v>317</v>
      </c>
      <c r="G26" s="54" t="s">
        <v>146</v>
      </c>
      <c r="H26" s="54" t="s">
        <v>407</v>
      </c>
      <c r="I26" s="54"/>
    </row>
    <row r="27" spans="2:9" ht="15.75" x14ac:dyDescent="0.3">
      <c r="B27" s="247" t="s">
        <v>408</v>
      </c>
      <c r="C27" s="83">
        <f>IF(Dashboard!$Q$2=TRUE,Factors!D43,Factors!F43)</f>
        <v>28.276217123670961</v>
      </c>
      <c r="D27" s="241" t="s">
        <v>158</v>
      </c>
      <c r="E27" s="193" t="s">
        <v>409</v>
      </c>
      <c r="F27" s="258">
        <f>C27/$C$23</f>
        <v>4.7127028539451601</v>
      </c>
      <c r="G27" s="241" t="s">
        <v>410</v>
      </c>
      <c r="H27" s="376" t="s">
        <v>411</v>
      </c>
      <c r="I27" s="376"/>
    </row>
    <row r="28" spans="2:9" ht="15.75" x14ac:dyDescent="0.3">
      <c r="B28" s="247" t="s">
        <v>412</v>
      </c>
      <c r="C28" s="56">
        <f>IF(Dashboard!$Q$2=TRUE,Factors!D44,Factors!F44)</f>
        <v>67</v>
      </c>
      <c r="D28" s="241" t="s">
        <v>158</v>
      </c>
      <c r="E28" s="193" t="str">
        <f>IF(Dashboard!$Q$2=TRUE,Factors!E44,Factors!G44)</f>
        <v>Chevron Internal Analysis of IEA World Energy Outlook 2018</v>
      </c>
      <c r="F28" s="258">
        <f>C28/$C$23</f>
        <v>11.166666666666666</v>
      </c>
      <c r="G28" s="241" t="s">
        <v>410</v>
      </c>
      <c r="H28" s="376" t="s">
        <v>411</v>
      </c>
      <c r="I28" s="376"/>
    </row>
    <row r="29" spans="2:9" ht="15.75" x14ac:dyDescent="0.3">
      <c r="B29" s="247" t="s">
        <v>413</v>
      </c>
      <c r="C29" s="56">
        <f>IF(Dashboard!$Q$2=TRUE,Factors!D45,Factors!F45)</f>
        <v>40</v>
      </c>
      <c r="D29" s="241" t="s">
        <v>158</v>
      </c>
      <c r="E29" s="193" t="str">
        <f>IF(Dashboard!$Q$2=TRUE,Factors!E45,Factors!G45)</f>
        <v>Chevron Internal Analysis of IEA World Energy Outlook 2018</v>
      </c>
      <c r="F29" s="258">
        <f>C29/$C$23</f>
        <v>6.666666666666667</v>
      </c>
      <c r="G29" s="241" t="s">
        <v>410</v>
      </c>
      <c r="H29" s="376" t="s">
        <v>411</v>
      </c>
      <c r="I29" s="376"/>
    </row>
    <row r="30" spans="2:9" s="240" customFormat="1" ht="15.75" x14ac:dyDescent="0.25">
      <c r="B30" s="295" t="s">
        <v>414</v>
      </c>
      <c r="C30" s="62">
        <f>IF(Dashboard!$Q$2=TRUE,Factors!D46,Factors!F46)</f>
        <v>22</v>
      </c>
      <c r="D30" s="244" t="s">
        <v>158</v>
      </c>
      <c r="E30" s="206" t="str">
        <f>IF(Dashboard!$Q$2=TRUE,Factors!E46,Factors!G46)</f>
        <v>Chevron Internal Analysis of IEA World Energy Outlook 2018</v>
      </c>
      <c r="F30" s="296">
        <f>C30/$C$23</f>
        <v>3.6666666666666665</v>
      </c>
      <c r="G30" s="244" t="s">
        <v>410</v>
      </c>
      <c r="H30" s="380" t="s">
        <v>411</v>
      </c>
      <c r="I30" s="380"/>
    </row>
    <row r="31" spans="2:9" ht="33.75" x14ac:dyDescent="0.3">
      <c r="B31" s="247" t="s">
        <v>415</v>
      </c>
      <c r="C31" s="163">
        <f>IF(Dashboard!$Q$2=TRUE,Factors!D47,Factors!F47)</f>
        <v>5.2954800000000003E-2</v>
      </c>
      <c r="D31" s="241" t="s">
        <v>416</v>
      </c>
      <c r="E31" s="206" t="str">
        <f>IF(Dashboard!$Q$2=TRUE,Factors!E47,Factors!G47)</f>
        <v>API Compendium (2021), Table 4-3 and 4-6
Assumed GWPs for CH4 and N2O are 25 and 298, respectively</v>
      </c>
      <c r="F31" s="258">
        <f>C31*C19</f>
        <v>54.9141276</v>
      </c>
      <c r="G31" s="241" t="s">
        <v>410</v>
      </c>
      <c r="H31" s="376" t="s">
        <v>417</v>
      </c>
      <c r="I31" s="376"/>
    </row>
    <row r="32" spans="2:9" x14ac:dyDescent="0.2"/>
    <row r="33" spans="2:14" x14ac:dyDescent="0.2">
      <c r="B33" s="42" t="s">
        <v>418</v>
      </c>
      <c r="C33" s="42"/>
      <c r="D33" s="377"/>
      <c r="E33" s="378"/>
      <c r="F33" s="379"/>
      <c r="G33" s="377"/>
      <c r="H33" s="378"/>
      <c r="I33" s="378"/>
    </row>
    <row r="34" spans="2:14" ht="28.5" x14ac:dyDescent="0.3">
      <c r="B34" s="54" t="s">
        <v>419</v>
      </c>
      <c r="C34" s="15" t="s">
        <v>420</v>
      </c>
      <c r="D34" s="64" t="s">
        <v>382</v>
      </c>
      <c r="E34" s="15" t="s">
        <v>421</v>
      </c>
      <c r="F34" s="15" t="s">
        <v>422</v>
      </c>
      <c r="G34" s="64" t="s">
        <v>383</v>
      </c>
    </row>
    <row r="35" spans="2:14" x14ac:dyDescent="0.2">
      <c r="B35" s="247" t="s">
        <v>423</v>
      </c>
      <c r="C35" s="264">
        <f>C12-C13</f>
        <v>7148</v>
      </c>
      <c r="D35" s="297">
        <f>C35*$C$21*$C$19/$C$22</f>
        <v>2854510.6703087199</v>
      </c>
      <c r="E35" s="258">
        <f>F27+F30+F31</f>
        <v>63.293497120611825</v>
      </c>
      <c r="F35" s="258">
        <f>C35*$C$21*E35/1000000</f>
        <v>165.13399985761865</v>
      </c>
      <c r="G35" s="297">
        <f>C35*$C$21*$C$20/$C$22</f>
        <v>2568233.8046268425</v>
      </c>
    </row>
    <row r="36" spans="2:14" x14ac:dyDescent="0.2">
      <c r="B36" s="247" t="s">
        <v>424</v>
      </c>
      <c r="C36" s="264">
        <f>C15</f>
        <v>0</v>
      </c>
      <c r="D36" s="297">
        <f>C36*$C$21*$C$19/$C$22</f>
        <v>0</v>
      </c>
      <c r="E36" s="258">
        <f>F28+F29+F30+F31</f>
        <v>76.4141276</v>
      </c>
      <c r="F36" s="258">
        <f>C36*$C$21*E36/1000000</f>
        <v>0</v>
      </c>
      <c r="G36" s="297">
        <f>C36*$C$21*$C$20/$C$22</f>
        <v>0</v>
      </c>
    </row>
    <row r="37" spans="2:14" x14ac:dyDescent="0.2">
      <c r="B37" s="259" t="s">
        <v>425</v>
      </c>
      <c r="C37" s="291">
        <f>IF(C14&gt;C12,C14-C35-C36,0)</f>
        <v>3547</v>
      </c>
      <c r="D37" s="298">
        <f>C37*$C$21*$C$19/$C$22</f>
        <v>1416473.0480672957</v>
      </c>
      <c r="E37" s="293">
        <f>F28+F30+F31</f>
        <v>69.747460933333329</v>
      </c>
      <c r="F37" s="293">
        <f>C37*$C$21*E37/1000000</f>
        <v>90.298899034644663</v>
      </c>
      <c r="G37" s="298">
        <f>C37*$C$21*$C$20/$C$22</f>
        <v>1274415.9632080877</v>
      </c>
    </row>
    <row r="38" spans="2:14" x14ac:dyDescent="0.2">
      <c r="C38" s="264">
        <f>SUM(C35:C37)</f>
        <v>10695</v>
      </c>
      <c r="D38" s="297">
        <f>SUM(D35:D37)</f>
        <v>4270983.7183760153</v>
      </c>
      <c r="E38" s="241"/>
      <c r="F38" s="258">
        <f>SUM(F35:F37)</f>
        <v>255.43289889226332</v>
      </c>
      <c r="G38" s="297">
        <f>SUM(G35:G37)</f>
        <v>3842649.7678349302</v>
      </c>
    </row>
    <row r="39" spans="2:14" x14ac:dyDescent="0.2">
      <c r="B39" s="250"/>
      <c r="C39" s="260"/>
      <c r="D39" s="250"/>
      <c r="E39" s="250"/>
      <c r="F39" s="250"/>
      <c r="G39" s="250"/>
      <c r="K39" s="250"/>
      <c r="L39" s="294"/>
      <c r="M39" s="250"/>
      <c r="N39" s="250"/>
    </row>
    <row r="40" spans="2:14" x14ac:dyDescent="0.2">
      <c r="B40" s="50" t="s">
        <v>390</v>
      </c>
    </row>
    <row r="41" spans="2:14" ht="45" x14ac:dyDescent="0.2">
      <c r="C41" s="51" t="s">
        <v>426</v>
      </c>
      <c r="D41" s="51" t="s">
        <v>427</v>
      </c>
      <c r="E41" s="51" t="s">
        <v>428</v>
      </c>
      <c r="F41" s="51" t="s">
        <v>429</v>
      </c>
      <c r="G41" s="51" t="s">
        <v>430</v>
      </c>
    </row>
    <row r="42" spans="2:14" x14ac:dyDescent="0.2"/>
    <row r="43" spans="2:14" x14ac:dyDescent="0.2"/>
    <row r="44" spans="2:14" x14ac:dyDescent="0.2"/>
    <row r="45" spans="2:14" x14ac:dyDescent="0.2"/>
    <row r="46" spans="2:14" x14ac:dyDescent="0.2"/>
  </sheetData>
  <sheetProtection selectLockedCells="1" selectUnlockedCells="1"/>
  <mergeCells count="7">
    <mergeCell ref="H27:I27"/>
    <mergeCell ref="G33:I33"/>
    <mergeCell ref="D33:F33"/>
    <mergeCell ref="H31:I31"/>
    <mergeCell ref="H28:I28"/>
    <mergeCell ref="H29:I29"/>
    <mergeCell ref="H30:I30"/>
  </mergeCells>
  <phoneticPr fontId="3" type="noConversion"/>
  <pageMargins left="0.7" right="0.7" top="0.75" bottom="0.75" header="0.3" footer="0.3"/>
  <pageSetup scale="43" orientation="landscape" horizontalDpi="360" verticalDpi="36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BC9B8-E935-4B69-9BE9-CC3B1677F73C}">
  <sheetPr codeName="Sheet14">
    <tabColor rgb="FF92D050"/>
  </sheetPr>
  <dimension ref="A1:XFC45"/>
  <sheetViews>
    <sheetView showGridLines="0" zoomScaleNormal="100" workbookViewId="0">
      <pane ySplit="1" topLeftCell="A2" activePane="bottomLeft" state="frozen"/>
      <selection activeCell="B1" sqref="B1"/>
      <selection pane="bottomLeft" activeCell="B17" sqref="B17"/>
    </sheetView>
  </sheetViews>
  <sheetFormatPr defaultColWidth="0" defaultRowHeight="12.75" zeroHeight="1" x14ac:dyDescent="0.2"/>
  <cols>
    <col min="1" max="1" width="9.140625" style="222" customWidth="1"/>
    <col min="2" max="2" width="65" style="222" customWidth="1"/>
    <col min="3" max="3" width="24.42578125" style="222" customWidth="1"/>
    <col min="4" max="4" width="60.85546875" style="222" customWidth="1"/>
    <col min="5" max="5" width="22.7109375" style="222" customWidth="1"/>
    <col min="6" max="16" width="0" style="222" hidden="1" customWidth="1"/>
    <col min="17" max="16383" width="9.140625" style="222" hidden="1"/>
    <col min="16384" max="16384" width="11.7109375" style="222" hidden="1" customWidth="1"/>
  </cols>
  <sheetData>
    <row r="1" spans="2:4" ht="99.75" customHeight="1" x14ac:dyDescent="0.2"/>
    <row r="2" spans="2:4" ht="26.25" x14ac:dyDescent="0.4">
      <c r="B2" s="6" t="s">
        <v>431</v>
      </c>
    </row>
    <row r="3" spans="2:4" x14ac:dyDescent="0.2">
      <c r="B3" s="27" t="s">
        <v>205</v>
      </c>
    </row>
    <row r="4" spans="2:4" x14ac:dyDescent="0.2"/>
    <row r="5" spans="2:4" ht="13.5" thickBot="1" x14ac:dyDescent="0.25">
      <c r="B5" s="48" t="s">
        <v>300</v>
      </c>
      <c r="C5" s="48"/>
      <c r="D5" s="48" t="s">
        <v>301</v>
      </c>
    </row>
    <row r="6" spans="2:4" x14ac:dyDescent="0.2">
      <c r="B6" s="247" t="s">
        <v>151</v>
      </c>
      <c r="C6" s="258">
        <f>C23</f>
        <v>0.20668692975331734</v>
      </c>
      <c r="D6" s="25" t="s">
        <v>432</v>
      </c>
    </row>
    <row r="7" spans="2:4" ht="15.75" x14ac:dyDescent="0.3">
      <c r="B7" s="259" t="s">
        <v>303</v>
      </c>
      <c r="C7" s="260">
        <f>C25</f>
        <v>7.2314580568090534</v>
      </c>
      <c r="D7" s="25" t="s">
        <v>403</v>
      </c>
    </row>
    <row r="8" spans="2:4" x14ac:dyDescent="0.2">
      <c r="B8" s="31" t="s">
        <v>305</v>
      </c>
      <c r="C8" s="32">
        <f>IF(C6&gt;0,C7/C6)</f>
        <v>34.98749565557852</v>
      </c>
      <c r="D8" s="25" t="s">
        <v>433</v>
      </c>
    </row>
    <row r="9" spans="2:4" x14ac:dyDescent="0.2"/>
    <row r="10" spans="2:4" x14ac:dyDescent="0.2">
      <c r="B10" s="59" t="s">
        <v>434</v>
      </c>
      <c r="C10" s="59"/>
      <c r="D10" s="84" t="s">
        <v>301</v>
      </c>
    </row>
    <row r="11" spans="2:4" x14ac:dyDescent="0.2">
      <c r="B11" s="222" t="s">
        <v>435</v>
      </c>
      <c r="C11" s="83">
        <f>Dashboard!C29</f>
        <v>117.4136140350877</v>
      </c>
      <c r="D11" s="25" t="s">
        <v>309</v>
      </c>
    </row>
    <row r="12" spans="2:4" x14ac:dyDescent="0.2">
      <c r="C12" s="241"/>
    </row>
    <row r="13" spans="2:4" x14ac:dyDescent="0.2">
      <c r="B13" s="59" t="s">
        <v>316</v>
      </c>
      <c r="C13" s="59"/>
      <c r="D13" s="59"/>
    </row>
    <row r="14" spans="2:4" x14ac:dyDescent="0.2">
      <c r="B14" s="222" t="s">
        <v>210</v>
      </c>
      <c r="C14" s="56">
        <f>IF(Dashboard!$Q$2=TRUE,Factors!D10,Factors!F10)</f>
        <v>365</v>
      </c>
      <c r="D14" s="197" t="str">
        <f>IF(Dashboard!$Q$2=TRUE,Factors!E10,Factors!G10)</f>
        <v>Days in the year (non-leap year)</v>
      </c>
    </row>
    <row r="15" spans="2:4" x14ac:dyDescent="0.2">
      <c r="C15" s="241"/>
    </row>
    <row r="16" spans="2:4" x14ac:dyDescent="0.2">
      <c r="B16" s="59" t="s">
        <v>267</v>
      </c>
      <c r="C16" s="59"/>
      <c r="D16" s="59"/>
    </row>
    <row r="17" spans="2:4" ht="12.75" customHeight="1" x14ac:dyDescent="0.2">
      <c r="B17" s="295" t="s">
        <v>436</v>
      </c>
      <c r="C17" s="199">
        <f>IF(Dashboard!$Q$2=TRUE,Factors!D66,Factors!F66)</f>
        <v>34.98749565557852</v>
      </c>
      <c r="D17" s="208" t="str">
        <f>IF(Dashboard!$Q$2=TRUE,Factors!E66,Factors!G66)</f>
        <v xml:space="preserve">Chevron internal analysis based on purchase data and production volumes </v>
      </c>
    </row>
    <row r="18" spans="2:4" ht="12.75" customHeight="1" x14ac:dyDescent="0.2">
      <c r="B18" s="322" t="s">
        <v>437</v>
      </c>
      <c r="C18" s="199">
        <f>IF(Dashboard!$Q$2=TRUE,Factors!D67,Factors!F67)</f>
        <v>37.891574212215332</v>
      </c>
      <c r="D18" s="208" t="str">
        <f>IF(Dashboard!$Q$2=TRUE,Factors!E67,Factors!G67)</f>
        <v xml:space="preserve">Chevron internal analysis based on purchase data and production volumes </v>
      </c>
    </row>
    <row r="19" spans="2:4" x14ac:dyDescent="0.2">
      <c r="B19" s="295" t="s">
        <v>271</v>
      </c>
      <c r="C19" s="199">
        <f>IF(Dashboard!$Q$2=TRUE,Factors!D68,Factors!F68)</f>
        <v>4.8228271109921783</v>
      </c>
      <c r="D19" s="208" t="str">
        <f>IF(Dashboard!$Q$2=TRUE,Factors!E68,Factors!G68)</f>
        <v xml:space="preserve">Chevron internal analysis based on purchase data and production volumes </v>
      </c>
    </row>
    <row r="20" spans="2:4" x14ac:dyDescent="0.2">
      <c r="B20" s="295" t="s">
        <v>272</v>
      </c>
      <c r="C20" s="199">
        <f>IF(Dashboard!$Q$2=TRUE,Factors!D69,Factors!F69)</f>
        <v>4.4531969468570631</v>
      </c>
      <c r="D20" s="208" t="str">
        <f>IF(Dashboard!$Q$2=TRUE,Factors!E69,Factors!G69)</f>
        <v xml:space="preserve">Chevron internal analysis based on purchase data and production volumes </v>
      </c>
    </row>
    <row r="21" spans="2:4" x14ac:dyDescent="0.2">
      <c r="C21" s="241"/>
    </row>
    <row r="22" spans="2:4" x14ac:dyDescent="0.2">
      <c r="B22" s="59" t="s">
        <v>418</v>
      </c>
      <c r="C22" s="59"/>
      <c r="D22" s="59"/>
    </row>
    <row r="23" spans="2:4" ht="22.5" x14ac:dyDescent="0.2">
      <c r="B23" s="240" t="s">
        <v>438</v>
      </c>
      <c r="C23" s="299">
        <f>C11*C14*C19/1000000</f>
        <v>0.20668692975331734</v>
      </c>
      <c r="D23" s="88" t="s">
        <v>439</v>
      </c>
    </row>
    <row r="24" spans="2:4" ht="22.5" x14ac:dyDescent="0.2">
      <c r="B24" s="240" t="s">
        <v>440</v>
      </c>
      <c r="C24" s="299">
        <f>C11*C20*C14/1000000</f>
        <v>0.19084607085228478</v>
      </c>
      <c r="D24" s="88" t="s">
        <v>441</v>
      </c>
    </row>
    <row r="25" spans="2:4" ht="27" customHeight="1" x14ac:dyDescent="0.2">
      <c r="B25" s="240" t="s">
        <v>442</v>
      </c>
      <c r="C25" s="296">
        <f>C23*C17</f>
        <v>7.2314580568090534</v>
      </c>
      <c r="D25" s="88" t="s">
        <v>443</v>
      </c>
    </row>
    <row r="26" spans="2:4" x14ac:dyDescent="0.2"/>
    <row r="33" x14ac:dyDescent="0.2"/>
    <row r="45" x14ac:dyDescent="0.2"/>
  </sheetData>
  <sheetProtection selectLockedCells="1" selectUnlockedCells="1"/>
  <pageMargins left="0.7" right="0.7" top="0.75" bottom="0.75" header="0.3" footer="0.3"/>
  <pageSetup scale="72" orientation="landscape" horizontalDpi="360" verticalDpi="36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92D050"/>
  </sheetPr>
  <dimension ref="A1:P58"/>
  <sheetViews>
    <sheetView showGridLines="0" zoomScaleNormal="100" workbookViewId="0">
      <pane ySplit="1" topLeftCell="A27" activePane="bottomLeft" state="frozen"/>
      <selection activeCell="B1" sqref="B1"/>
      <selection pane="bottomLeft" activeCell="B2" sqref="B2"/>
    </sheetView>
  </sheetViews>
  <sheetFormatPr defaultColWidth="0" defaultRowHeight="12.75" zeroHeight="1" x14ac:dyDescent="0.2"/>
  <cols>
    <col min="1" max="1" width="9.140625" style="222" customWidth="1"/>
    <col min="2" max="2" width="55.85546875" style="222" customWidth="1"/>
    <col min="3" max="3" width="15.42578125" style="222" customWidth="1"/>
    <col min="4" max="4" width="25.140625" style="222" customWidth="1"/>
    <col min="5" max="5" width="44.85546875" style="222" customWidth="1"/>
    <col min="6" max="6" width="21.140625" style="222" customWidth="1"/>
    <col min="7" max="7" width="25.5703125" style="222" customWidth="1"/>
    <col min="8" max="8" width="30.140625" style="222" customWidth="1"/>
    <col min="9" max="9" width="23.85546875" style="222" customWidth="1"/>
    <col min="10" max="10" width="15.85546875" style="222" customWidth="1"/>
    <col min="11" max="16" width="0" style="222" hidden="1" customWidth="1"/>
    <col min="17" max="16384" width="9.140625" style="222" hidden="1"/>
  </cols>
  <sheetData>
    <row r="1" spans="2:16" ht="99.75" customHeight="1" x14ac:dyDescent="0.2"/>
    <row r="2" spans="2:16" ht="26.25" x14ac:dyDescent="0.4">
      <c r="B2" s="6" t="s">
        <v>444</v>
      </c>
    </row>
    <row r="3" spans="2:16" x14ac:dyDescent="0.2">
      <c r="B3" s="27" t="s">
        <v>205</v>
      </c>
    </row>
    <row r="4" spans="2:16" x14ac:dyDescent="0.2"/>
    <row r="5" spans="2:16" ht="13.5" thickBot="1" x14ac:dyDescent="0.25">
      <c r="B5" s="48" t="s">
        <v>300</v>
      </c>
      <c r="C5" s="48"/>
      <c r="D5" s="48" t="s">
        <v>301</v>
      </c>
      <c r="E5" s="48"/>
      <c r="F5" s="48"/>
      <c r="G5" s="48"/>
      <c r="H5" s="48"/>
      <c r="I5" s="48"/>
      <c r="K5" s="48"/>
      <c r="L5" s="48"/>
      <c r="M5" s="48"/>
      <c r="N5" s="48"/>
      <c r="O5" s="48"/>
      <c r="P5" s="48"/>
    </row>
    <row r="6" spans="2:16" x14ac:dyDescent="0.2">
      <c r="B6" s="247" t="s">
        <v>151</v>
      </c>
      <c r="C6" s="258">
        <f>D36/1000000</f>
        <v>0.8678665533536537</v>
      </c>
      <c r="D6" s="25" t="s">
        <v>445</v>
      </c>
    </row>
    <row r="7" spans="2:16" x14ac:dyDescent="0.2">
      <c r="B7" s="259" t="s">
        <v>446</v>
      </c>
      <c r="C7" s="260">
        <f>F36</f>
        <v>62.396935344305888</v>
      </c>
      <c r="D7" s="25" t="s">
        <v>403</v>
      </c>
    </row>
    <row r="8" spans="2:16" x14ac:dyDescent="0.2">
      <c r="B8" s="31" t="s">
        <v>305</v>
      </c>
      <c r="C8" s="32">
        <f>IF(C6&gt;0,C7/C6)</f>
        <v>71.896923672410821</v>
      </c>
      <c r="D8" s="25" t="s">
        <v>306</v>
      </c>
    </row>
    <row r="9" spans="2:16" x14ac:dyDescent="0.2"/>
    <row r="10" spans="2:16" x14ac:dyDescent="0.2">
      <c r="B10" s="59" t="s">
        <v>434</v>
      </c>
      <c r="C10" s="59"/>
      <c r="D10" s="59"/>
      <c r="E10" s="59"/>
      <c r="F10" s="59"/>
      <c r="G10" s="59"/>
      <c r="H10" s="60"/>
      <c r="I10" s="60"/>
    </row>
    <row r="11" spans="2:16" x14ac:dyDescent="0.2">
      <c r="B11" s="55" t="s">
        <v>308</v>
      </c>
      <c r="C11" s="54" t="s">
        <v>447</v>
      </c>
      <c r="D11" s="55" t="s">
        <v>301</v>
      </c>
    </row>
    <row r="12" spans="2:16" x14ac:dyDescent="0.2">
      <c r="B12" s="247" t="s">
        <v>448</v>
      </c>
      <c r="C12" s="56">
        <f>Dashboard!C25</f>
        <v>448</v>
      </c>
      <c r="D12" s="25" t="s">
        <v>309</v>
      </c>
    </row>
    <row r="13" spans="2:16" x14ac:dyDescent="0.2">
      <c r="B13" s="247" t="s">
        <v>449</v>
      </c>
      <c r="C13" s="56">
        <f>Dashboard!C26</f>
        <v>175</v>
      </c>
      <c r="D13" s="25" t="s">
        <v>309</v>
      </c>
    </row>
    <row r="14" spans="2:16" x14ac:dyDescent="0.2">
      <c r="B14" s="241"/>
      <c r="C14" s="241"/>
    </row>
    <row r="15" spans="2:16" x14ac:dyDescent="0.2">
      <c r="B15" s="42" t="s">
        <v>316</v>
      </c>
      <c r="C15" s="42"/>
      <c r="D15" s="42"/>
      <c r="E15" s="42"/>
      <c r="F15" s="42"/>
      <c r="G15" s="42"/>
      <c r="H15" s="42"/>
      <c r="I15" s="42"/>
    </row>
    <row r="16" spans="2:16" x14ac:dyDescent="0.2">
      <c r="B16" s="55" t="s">
        <v>54</v>
      </c>
      <c r="C16" s="54" t="s">
        <v>450</v>
      </c>
      <c r="D16" s="55" t="s">
        <v>451</v>
      </c>
      <c r="E16" s="55"/>
      <c r="F16" s="55"/>
      <c r="G16" s="55"/>
      <c r="H16" s="55"/>
      <c r="I16" s="55"/>
    </row>
    <row r="17" spans="2:9" ht="24.95" customHeight="1" x14ac:dyDescent="0.2">
      <c r="B17" s="300" t="s">
        <v>229</v>
      </c>
      <c r="C17" s="217">
        <f>IF(Dashboard!$Q$2=TRUE,Factors!D22,Factors!F22)</f>
        <v>3617400</v>
      </c>
      <c r="D17" s="384" t="str">
        <f>IF(Dashboard!$Q$2=TRUE,Factors!E22,Factors!G22)</f>
        <v>API Compendium (2021), Table 3-8 for HHV by NGL component; Chevron internal analysis for generic NGL barrel composition of 42% ethane, 28% propane, 8% n-butane, 9% i-butane, and 13% natural gasoline. Calculation on bottom of "Factors" tab.</v>
      </c>
      <c r="E17" s="384"/>
      <c r="F17" s="384"/>
      <c r="G17" s="384"/>
      <c r="H17" s="384"/>
      <c r="I17" s="384"/>
    </row>
    <row r="18" spans="2:9" ht="24.95" customHeight="1" x14ac:dyDescent="0.2">
      <c r="B18" s="300" t="s">
        <v>231</v>
      </c>
      <c r="C18" s="217">
        <f>IF(Dashboard!$Q$2=TRUE,Factors!D23,Factors!F23)</f>
        <v>3434800</v>
      </c>
      <c r="D18" s="385" t="str">
        <f>IF(Dashboard!$Q$2=TRUE,Factors!E23,Factors!G23)</f>
        <v>API Compendium (2021), Table 3-8 for LHV by NGL component; Chevron internal analysis for generic NGL barrel composition of 42% ethane, 28% propane, 8% n-butane, 9% i-butane, and 13% natural gasoline. Calculation on bottom of "Factors" tab.</v>
      </c>
      <c r="E18" s="385"/>
      <c r="F18" s="385"/>
      <c r="G18" s="385"/>
      <c r="H18" s="385"/>
      <c r="I18" s="385"/>
    </row>
    <row r="19" spans="2:9" x14ac:dyDescent="0.2">
      <c r="B19" s="247" t="s">
        <v>318</v>
      </c>
      <c r="C19" s="61">
        <f>IF(Dashboard!$Q$2=TRUE,Factors!D10,Factors!F10)</f>
        <v>365</v>
      </c>
      <c r="D19" s="197" t="str">
        <f>IF(Dashboard!$Q$2=TRUE,Factors!E10,Factors!G10)</f>
        <v>Days in the year (non-leap year)</v>
      </c>
      <c r="E19" s="271"/>
      <c r="F19" s="271"/>
      <c r="G19" s="271"/>
    </row>
    <row r="20" spans="2:9" x14ac:dyDescent="0.2">
      <c r="B20" s="247" t="s">
        <v>212</v>
      </c>
      <c r="C20" s="61">
        <f>IF(Dashboard!$Q$2=TRUE,Factors!D11,Factors!F11)</f>
        <v>947.81700000000001</v>
      </c>
      <c r="D20" s="193" t="str">
        <f>IF(Dashboard!$Q$2=TRUE,Factors!E11,Factors!G11)</f>
        <v>Unit conversion</v>
      </c>
      <c r="E20" s="271"/>
      <c r="F20" s="271"/>
      <c r="G20" s="271"/>
    </row>
    <row r="21" spans="2:9" x14ac:dyDescent="0.2">
      <c r="B21" s="247" t="s">
        <v>220</v>
      </c>
      <c r="C21" s="23">
        <f>IF(Dashboard!$Q$2=TRUE,Factors!D16,Factors!F16)</f>
        <v>1.0629999999999999</v>
      </c>
      <c r="D21" s="191" t="str">
        <f>IF(Dashboard!$Q$2=TRUE,Factors!E16,Factors!G16)</f>
        <v>EIA average processing gain at U.S. refineries, 2022: https://www.eia.gov/energyexplained/oil-and-petroleum-products/refining-crude-oil-inputs-and-outputs.php</v>
      </c>
      <c r="E21" s="271"/>
      <c r="F21" s="271"/>
      <c r="G21" s="271"/>
    </row>
    <row r="22" spans="2:9" x14ac:dyDescent="0.2"/>
    <row r="23" spans="2:9" x14ac:dyDescent="0.2">
      <c r="B23" s="42" t="s">
        <v>238</v>
      </c>
      <c r="C23" s="42"/>
      <c r="D23" s="42"/>
      <c r="E23" s="42"/>
      <c r="F23" s="42"/>
      <c r="G23" s="42"/>
      <c r="H23" s="42"/>
      <c r="I23" s="42"/>
    </row>
    <row r="24" spans="2:9" x14ac:dyDescent="0.2">
      <c r="B24" s="55" t="s">
        <v>241</v>
      </c>
      <c r="C24" s="54" t="s">
        <v>146</v>
      </c>
      <c r="D24" s="54" t="s">
        <v>317</v>
      </c>
      <c r="E24" s="54" t="s">
        <v>207</v>
      </c>
      <c r="F24" s="54" t="s">
        <v>317</v>
      </c>
      <c r="G24" s="54" t="s">
        <v>146</v>
      </c>
      <c r="H24" s="54" t="s">
        <v>407</v>
      </c>
      <c r="I24" s="54"/>
    </row>
    <row r="25" spans="2:9" ht="15.75" x14ac:dyDescent="0.3">
      <c r="B25" s="247" t="s">
        <v>452</v>
      </c>
      <c r="C25" s="241" t="s">
        <v>453</v>
      </c>
      <c r="D25" s="56">
        <f>Dashboard!C13</f>
        <v>22.4</v>
      </c>
      <c r="E25" s="25" t="s">
        <v>309</v>
      </c>
      <c r="F25" s="241">
        <f>D25</f>
        <v>22.4</v>
      </c>
      <c r="G25" s="241" t="s">
        <v>454</v>
      </c>
    </row>
    <row r="26" spans="2:9" ht="15.75" x14ac:dyDescent="0.3">
      <c r="B26" s="247" t="s">
        <v>455</v>
      </c>
      <c r="C26" s="241" t="s">
        <v>453</v>
      </c>
      <c r="D26" s="56">
        <f>Dashboard!C16</f>
        <v>36</v>
      </c>
      <c r="E26" s="25" t="s">
        <v>309</v>
      </c>
      <c r="F26" s="241">
        <f>D26</f>
        <v>36</v>
      </c>
      <c r="G26" s="241" t="s">
        <v>454</v>
      </c>
    </row>
    <row r="27" spans="2:9" ht="15.75" x14ac:dyDescent="0.2">
      <c r="B27" s="295" t="s">
        <v>456</v>
      </c>
      <c r="C27" s="244" t="s">
        <v>453</v>
      </c>
      <c r="D27" s="62">
        <f>IF(Dashboard!$Q$2=TRUE,Factors!D50,Factors!F50)</f>
        <v>9.5</v>
      </c>
      <c r="E27" s="204" t="str">
        <f>IF(Dashboard!$Q$2=TRUE,Factors!E50,Factors!G50)</f>
        <v>Chevron internal analysis of IEA World Energy Outlook 2018</v>
      </c>
      <c r="F27" s="244">
        <f>D27</f>
        <v>9.5</v>
      </c>
      <c r="G27" s="244" t="s">
        <v>454</v>
      </c>
    </row>
    <row r="28" spans="2:9" ht="45" x14ac:dyDescent="0.3">
      <c r="B28" s="247" t="s">
        <v>415</v>
      </c>
      <c r="C28" s="241" t="s">
        <v>416</v>
      </c>
      <c r="D28" s="56">
        <f>IF(Dashboard!$Q$2=TRUE,Factors!D51,Factors!F51)</f>
        <v>6.4553799999999995E-2</v>
      </c>
      <c r="E28" s="206" t="str">
        <f>IF(Dashboard!$Q$2=TRUE,Factors!E51,Factors!G51)</f>
        <v>API Compendium (2021), Table 4-3 for NGLs and Table 4-6 and 4-8 for % of NGL Barrel by Component
Assumed GWPs for CH4 and N2O are 25 and 298, respectively</v>
      </c>
      <c r="F28" s="301">
        <f>D28*C17/1000</f>
        <v>233.51691611999999</v>
      </c>
      <c r="G28" s="241" t="s">
        <v>454</v>
      </c>
      <c r="H28" s="376" t="s">
        <v>457</v>
      </c>
      <c r="I28" s="376"/>
    </row>
    <row r="29" spans="2:9" x14ac:dyDescent="0.2">
      <c r="B29" s="247"/>
      <c r="C29" s="241"/>
      <c r="D29" s="241"/>
    </row>
    <row r="30" spans="2:9" x14ac:dyDescent="0.2">
      <c r="B30" s="247"/>
      <c r="C30" s="241"/>
      <c r="D30" s="241"/>
    </row>
    <row r="31" spans="2:9" x14ac:dyDescent="0.2"/>
    <row r="32" spans="2:9" x14ac:dyDescent="0.2">
      <c r="B32" s="42" t="s">
        <v>418</v>
      </c>
      <c r="C32" s="42"/>
      <c r="D32" s="381"/>
      <c r="E32" s="382"/>
      <c r="F32" s="383"/>
      <c r="G32" s="381"/>
      <c r="H32" s="382"/>
      <c r="I32" s="382"/>
    </row>
    <row r="33" spans="2:7" ht="44.45" customHeight="1" x14ac:dyDescent="0.3">
      <c r="B33" s="55" t="s">
        <v>200</v>
      </c>
      <c r="C33" s="15" t="s">
        <v>458</v>
      </c>
      <c r="D33" s="64" t="s">
        <v>382</v>
      </c>
      <c r="E33" s="15" t="s">
        <v>459</v>
      </c>
      <c r="F33" s="15" t="s">
        <v>460</v>
      </c>
      <c r="G33" s="64" t="s">
        <v>383</v>
      </c>
    </row>
    <row r="34" spans="2:7" x14ac:dyDescent="0.2">
      <c r="B34" s="247" t="s">
        <v>448</v>
      </c>
      <c r="C34" s="241">
        <f>C12</f>
        <v>448</v>
      </c>
      <c r="D34" s="302">
        <f>C34*$C$19*$C$17/1000/$C$20</f>
        <v>624083.81364757125</v>
      </c>
      <c r="E34" s="258">
        <f>F25+F27+F28</f>
        <v>265.41691612</v>
      </c>
      <c r="F34" s="258">
        <f>C34*E34*$C$19/1000000</f>
        <v>43.400974123942397</v>
      </c>
      <c r="G34" s="302">
        <f>C34*$C$19*$C$18/1000/$C$20</f>
        <v>592581.1585991811</v>
      </c>
    </row>
    <row r="35" spans="2:7" x14ac:dyDescent="0.2">
      <c r="B35" s="259" t="s">
        <v>449</v>
      </c>
      <c r="C35" s="249">
        <f>C13</f>
        <v>175</v>
      </c>
      <c r="D35" s="303">
        <f>C35*$C$19*$C$17/1000/$C$20</f>
        <v>243782.7397060825</v>
      </c>
      <c r="E35" s="57">
        <f>((F25+F26+F27)/C21)+F28</f>
        <v>297.39273926205078</v>
      </c>
      <c r="F35" s="293">
        <f>C35*E35*$C$19/1000000</f>
        <v>18.995961220363494</v>
      </c>
      <c r="G35" s="303">
        <f>C35*$C$19*$C$18/1000/$C$20</f>
        <v>231477.01507780509</v>
      </c>
    </row>
    <row r="36" spans="2:7" x14ac:dyDescent="0.2">
      <c r="C36" s="267">
        <f>SUM(C34:C35)</f>
        <v>623</v>
      </c>
      <c r="D36" s="304">
        <f>SUM(D34:D35)</f>
        <v>867866.55335365376</v>
      </c>
      <c r="E36" s="258"/>
      <c r="F36" s="258">
        <f>SUM(F34:F35)</f>
        <v>62.396935344305888</v>
      </c>
      <c r="G36" s="304">
        <f>SUM(G34:G35)</f>
        <v>824058.17367698625</v>
      </c>
    </row>
    <row r="37" spans="2:7" x14ac:dyDescent="0.2">
      <c r="B37" s="27" t="s">
        <v>461</v>
      </c>
      <c r="C37" s="267"/>
      <c r="D37" s="305"/>
      <c r="E37" s="258"/>
      <c r="F37" s="258"/>
      <c r="G37" s="305"/>
    </row>
    <row r="38" spans="2:7" x14ac:dyDescent="0.2">
      <c r="C38" s="267"/>
      <c r="D38" s="305"/>
      <c r="E38" s="258"/>
      <c r="F38" s="258"/>
      <c r="G38" s="305"/>
    </row>
    <row r="39" spans="2:7" x14ac:dyDescent="0.2">
      <c r="B39" s="67" t="s">
        <v>390</v>
      </c>
      <c r="C39" s="251"/>
      <c r="D39" s="251"/>
      <c r="E39" s="251"/>
      <c r="F39" s="251"/>
      <c r="G39" s="251"/>
    </row>
    <row r="40" spans="2:7" ht="119.45" customHeight="1" x14ac:dyDescent="0.2">
      <c r="C40" s="51" t="s">
        <v>462</v>
      </c>
      <c r="D40" s="51" t="s">
        <v>463</v>
      </c>
      <c r="E40" s="51" t="s">
        <v>464</v>
      </c>
      <c r="F40" s="51" t="s">
        <v>465</v>
      </c>
      <c r="G40" s="51" t="s">
        <v>466</v>
      </c>
    </row>
    <row r="41" spans="2:7" x14ac:dyDescent="0.2"/>
    <row r="42" spans="2:7" x14ac:dyDescent="0.2">
      <c r="E42" s="306"/>
    </row>
    <row r="43" spans="2:7" x14ac:dyDescent="0.2"/>
    <row r="44" spans="2:7" x14ac:dyDescent="0.2"/>
    <row r="45" spans="2:7" x14ac:dyDescent="0.2">
      <c r="E45" s="306"/>
    </row>
    <row r="46" spans="2:7" x14ac:dyDescent="0.2"/>
    <row r="47" spans="2:7" x14ac:dyDescent="0.2"/>
    <row r="48" spans="2:7" x14ac:dyDescent="0.2"/>
    <row r="49" x14ac:dyDescent="0.2"/>
    <row r="50" x14ac:dyDescent="0.2"/>
    <row r="51" x14ac:dyDescent="0.2"/>
    <row r="52" x14ac:dyDescent="0.2"/>
    <row r="53" x14ac:dyDescent="0.2"/>
    <row r="54" x14ac:dyDescent="0.2"/>
    <row r="56" x14ac:dyDescent="0.2"/>
    <row r="57" x14ac:dyDescent="0.2"/>
    <row r="58" x14ac:dyDescent="0.2"/>
  </sheetData>
  <sheetProtection selectLockedCells="1" selectUnlockedCells="1"/>
  <mergeCells count="5">
    <mergeCell ref="D32:F32"/>
    <mergeCell ref="G32:I32"/>
    <mergeCell ref="H28:I28"/>
    <mergeCell ref="D17:I17"/>
    <mergeCell ref="D18:I18"/>
  </mergeCells>
  <pageMargins left="0.7" right="0.7" top="0.75" bottom="0.75" header="0.3" footer="0.3"/>
  <pageSetup scale="38" orientation="landscape" horizontalDpi="360" verticalDpi="360"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rgb="FF92D050"/>
  </sheetPr>
  <dimension ref="A1:R43"/>
  <sheetViews>
    <sheetView showGridLines="0" zoomScaleNormal="100" workbookViewId="0">
      <pane ySplit="1" topLeftCell="A17" activePane="bottomLeft" state="frozen"/>
      <selection activeCell="B1" sqref="B1"/>
      <selection pane="bottomLeft"/>
    </sheetView>
  </sheetViews>
  <sheetFormatPr defaultColWidth="0" defaultRowHeight="12.75" zeroHeight="1" x14ac:dyDescent="0.2"/>
  <cols>
    <col min="1" max="1" width="9.140625" style="222" customWidth="1"/>
    <col min="2" max="2" width="46" style="222" customWidth="1"/>
    <col min="3" max="3" width="18" style="222" bestFit="1" customWidth="1"/>
    <col min="4" max="6" width="28.42578125" style="222" customWidth="1"/>
    <col min="7" max="7" width="12.7109375" style="222" customWidth="1"/>
    <col min="8" max="8" width="10.28515625" style="222" customWidth="1"/>
    <col min="9" max="18" width="0" style="222" hidden="1" customWidth="1"/>
    <col min="19" max="16384" width="9.140625" style="222" hidden="1"/>
  </cols>
  <sheetData>
    <row r="1" spans="1:8" s="82" customFormat="1" ht="99.75" customHeight="1" x14ac:dyDescent="0.2"/>
    <row r="2" spans="1:8" ht="26.25" x14ac:dyDescent="0.4">
      <c r="B2" s="6" t="s">
        <v>467</v>
      </c>
    </row>
    <row r="3" spans="1:8" x14ac:dyDescent="0.2">
      <c r="B3" s="27" t="s">
        <v>205</v>
      </c>
    </row>
    <row r="4" spans="1:8" x14ac:dyDescent="0.2"/>
    <row r="5" spans="1:8" x14ac:dyDescent="0.2">
      <c r="B5" s="48" t="s">
        <v>300</v>
      </c>
      <c r="C5" s="48"/>
      <c r="D5" s="48" t="s">
        <v>301</v>
      </c>
      <c r="E5" s="48"/>
      <c r="F5" s="48"/>
      <c r="G5" s="48"/>
      <c r="H5" s="221"/>
    </row>
    <row r="6" spans="1:8" x14ac:dyDescent="0.2">
      <c r="B6" s="247" t="s">
        <v>151</v>
      </c>
      <c r="C6" s="258">
        <f>D27/1000000</f>
        <v>0</v>
      </c>
      <c r="D6" s="25" t="s">
        <v>445</v>
      </c>
    </row>
    <row r="7" spans="1:8" ht="15.75" x14ac:dyDescent="0.3">
      <c r="B7" s="259" t="s">
        <v>303</v>
      </c>
      <c r="C7" s="293">
        <f>E27</f>
        <v>0</v>
      </c>
      <c r="D7" s="25" t="s">
        <v>403</v>
      </c>
    </row>
    <row r="8" spans="1:8" x14ac:dyDescent="0.2">
      <c r="B8" s="31" t="s">
        <v>305</v>
      </c>
      <c r="C8" s="32">
        <f>IF(C6&gt;0,C7/C6,0)</f>
        <v>0</v>
      </c>
      <c r="D8" s="25" t="s">
        <v>306</v>
      </c>
    </row>
    <row r="9" spans="1:8" x14ac:dyDescent="0.2"/>
    <row r="10" spans="1:8" x14ac:dyDescent="0.2">
      <c r="B10" s="59" t="s">
        <v>238</v>
      </c>
      <c r="C10" s="59"/>
      <c r="D10" s="84"/>
      <c r="E10" s="59"/>
      <c r="F10" s="59"/>
      <c r="G10" s="59"/>
      <c r="H10" s="69"/>
    </row>
    <row r="11" spans="1:8" ht="15.75" x14ac:dyDescent="0.3">
      <c r="B11" s="55" t="s">
        <v>468</v>
      </c>
      <c r="C11" s="54" t="s">
        <v>469</v>
      </c>
      <c r="D11" s="55" t="s">
        <v>207</v>
      </c>
      <c r="E11" s="55"/>
      <c r="F11" s="55"/>
      <c r="G11" s="7"/>
      <c r="H11" s="7"/>
    </row>
    <row r="12" spans="1:8" ht="30" customHeight="1" x14ac:dyDescent="0.2">
      <c r="A12" s="346"/>
      <c r="B12" s="240" t="s">
        <v>505</v>
      </c>
      <c r="C12" s="62">
        <f>IF(Dashboard!$Q$2=TRUE,Factors!D54,Factors!F54)</f>
        <v>9.1999999999999993</v>
      </c>
      <c r="D12" s="386" t="str">
        <f>IF(Dashboard!$Q$2=TRUE,Factors!E54,Factors!G54)</f>
        <v>2030 value for Natural Gas and SMR, 1700km: 
https://hydrogencouncil.com/wp-content/uploads/2021/01/Hydrogen-Council-Report_Decarbonization-Pathways_Part-1-Lifecycle-Assessment.pdf</v>
      </c>
      <c r="E12" s="386"/>
      <c r="F12" s="386"/>
      <c r="G12" s="206"/>
      <c r="H12" s="206"/>
    </row>
    <row r="13" spans="1:8" ht="30" customHeight="1" x14ac:dyDescent="0.2">
      <c r="A13" s="346"/>
      <c r="B13" s="240" t="s">
        <v>506</v>
      </c>
      <c r="C13" s="62">
        <f>IF(Dashboard!$Q$2=TRUE,Factors!D55,Factors!F55)</f>
        <v>1.5</v>
      </c>
      <c r="D13" s="386" t="str">
        <f>IF(Dashboard!$Q$2=TRUE,Factors!E55,Factors!G55)</f>
        <v>2030 value for Natural Gas with SMR and 90% CCS capture, 1700km: 
https://hydrogencouncil.com/wp-content/uploads/2021/01/Hydrogen-Council-Report_Decarbonization-Pathways_Part-1-Lifecycle-Assessment.pdf</v>
      </c>
      <c r="E13" s="386"/>
      <c r="F13" s="386"/>
      <c r="G13" s="206"/>
      <c r="H13" s="206"/>
    </row>
    <row r="14" spans="1:8" ht="30" customHeight="1" x14ac:dyDescent="0.2">
      <c r="A14" s="346"/>
      <c r="B14" s="240" t="s">
        <v>509</v>
      </c>
      <c r="C14" s="62">
        <f>IF(Dashboard!$Q$2=TRUE,Factors!D56,Factors!F56)</f>
        <v>0.5</v>
      </c>
      <c r="D14" s="386" t="str">
        <f>IF(Dashboard!$Q$2=TRUE,Factors!E56,Factors!G56)</f>
        <v>2030 value for Renewable Electrolysis with Wind Power: 
https://hydrogencouncil.com/wp-content/uploads/2021/01/Hydrogen-Council-Report_Decarbonization-Pathways_Part-1-Lifecycle-Assessment.pdf</v>
      </c>
      <c r="E14" s="386"/>
      <c r="F14" s="386"/>
      <c r="G14" s="206"/>
      <c r="H14" s="206"/>
    </row>
    <row r="15" spans="1:8" x14ac:dyDescent="0.2"/>
    <row r="16" spans="1:8" x14ac:dyDescent="0.2">
      <c r="B16" s="59" t="s">
        <v>316</v>
      </c>
      <c r="C16" s="59"/>
      <c r="D16" s="84" t="s">
        <v>207</v>
      </c>
      <c r="E16" s="59"/>
      <c r="F16" s="59"/>
      <c r="G16" s="59"/>
      <c r="H16" s="69"/>
    </row>
    <row r="17" spans="1:10" x14ac:dyDescent="0.2">
      <c r="B17" s="222" t="s">
        <v>212</v>
      </c>
      <c r="C17" s="83">
        <f>IF(Dashboard!$Q$2=TRUE,Factors!D11,Factors!F11)</f>
        <v>947.81700000000001</v>
      </c>
      <c r="D17" s="386" t="str">
        <f>IF(Dashboard!$Q$2=TRUE,Factors!E11,Factors!G11)</f>
        <v>Unit conversion</v>
      </c>
      <c r="E17" s="386"/>
      <c r="F17" s="386"/>
      <c r="G17" s="206"/>
      <c r="H17" s="206"/>
    </row>
    <row r="18" spans="1:10" x14ac:dyDescent="0.2">
      <c r="B18" s="222" t="s">
        <v>470</v>
      </c>
      <c r="C18" s="56">
        <f>IF(Dashboard!$Q$2=TRUE,Factors!D25,Factors!F25)</f>
        <v>343</v>
      </c>
      <c r="D18" s="386" t="str">
        <f>IF(Dashboard!$Q$2=TRUE,Factors!E25,Factors!G25)</f>
        <v>Argonne GREET model 2022</v>
      </c>
      <c r="E18" s="386"/>
      <c r="F18" s="386"/>
      <c r="G18" s="206"/>
      <c r="H18" s="206"/>
    </row>
    <row r="19" spans="1:10" x14ac:dyDescent="0.2">
      <c r="B19" s="222" t="s">
        <v>471</v>
      </c>
      <c r="C19" s="56">
        <f>IF(Dashboard!$Q$2=TRUE,Factors!D26,Factors!F26)</f>
        <v>2.6</v>
      </c>
      <c r="D19" s="386" t="str">
        <f>IF(Dashboard!$Q$2=TRUE,Factors!E26,Factors!G26)</f>
        <v>Argonne GREET model 2022</v>
      </c>
      <c r="E19" s="386"/>
      <c r="F19" s="386"/>
      <c r="G19" s="206"/>
      <c r="H19" s="206"/>
    </row>
    <row r="20" spans="1:10" x14ac:dyDescent="0.2">
      <c r="B20" s="222" t="s">
        <v>236</v>
      </c>
      <c r="C20" s="166">
        <f>Factors!D27</f>
        <v>0.84548104956268222</v>
      </c>
      <c r="D20" s="386" t="str">
        <f>IF(Dashboard!$Q$2=TRUE,Factors!E27,Factors!G27)</f>
        <v>Argonne GREET model 2022</v>
      </c>
      <c r="E20" s="386"/>
      <c r="F20" s="386"/>
      <c r="G20" s="206"/>
      <c r="H20" s="206"/>
    </row>
    <row r="21" spans="1:10" x14ac:dyDescent="0.2"/>
    <row r="22" spans="1:10" x14ac:dyDescent="0.2">
      <c r="B22" s="59" t="s">
        <v>418</v>
      </c>
      <c r="C22" s="59"/>
      <c r="D22" s="84"/>
      <c r="E22" s="59"/>
      <c r="F22" s="59"/>
      <c r="G22" s="59"/>
      <c r="H22" s="69"/>
    </row>
    <row r="23" spans="1:10" ht="28.5" x14ac:dyDescent="0.3">
      <c r="B23" s="348" t="s">
        <v>468</v>
      </c>
      <c r="C23" s="11" t="s">
        <v>472</v>
      </c>
      <c r="D23" s="11" t="s">
        <v>473</v>
      </c>
      <c r="E23" s="11" t="s">
        <v>474</v>
      </c>
      <c r="F23" s="11" t="s">
        <v>475</v>
      </c>
      <c r="G23" s="11"/>
      <c r="H23" s="11"/>
    </row>
    <row r="24" spans="1:10" x14ac:dyDescent="0.2">
      <c r="A24" s="346"/>
      <c r="B24" s="240" t="s">
        <v>505</v>
      </c>
      <c r="C24" s="85">
        <f>Dashboard!C31</f>
        <v>0</v>
      </c>
      <c r="D24" s="307">
        <f>C24*10^6/C$19*C$18/C$17</f>
        <v>0</v>
      </c>
      <c r="E24" s="307">
        <f>C24*C12</f>
        <v>0</v>
      </c>
      <c r="F24" s="307">
        <f>$C$20*D24</f>
        <v>0</v>
      </c>
      <c r="G24" s="308"/>
      <c r="H24" s="308"/>
    </row>
    <row r="25" spans="1:10" x14ac:dyDescent="0.2">
      <c r="A25" s="346"/>
      <c r="B25" s="240" t="s">
        <v>506</v>
      </c>
      <c r="C25" s="86">
        <f>Dashboard!C32</f>
        <v>0</v>
      </c>
      <c r="D25" s="309">
        <f>C25*10^6/C$19*C$18/C$17</f>
        <v>0</v>
      </c>
      <c r="E25" s="309">
        <f>C25*C13</f>
        <v>0</v>
      </c>
      <c r="F25" s="309">
        <f>$C$20*D25</f>
        <v>0</v>
      </c>
      <c r="G25" s="309"/>
      <c r="H25" s="308"/>
    </row>
    <row r="26" spans="1:10" x14ac:dyDescent="0.2">
      <c r="A26" s="346"/>
      <c r="B26" s="347" t="s">
        <v>509</v>
      </c>
      <c r="C26" s="87">
        <f>Dashboard!C33</f>
        <v>0</v>
      </c>
      <c r="D26" s="310">
        <f>C26*10^6/C$19*C$18/C$17</f>
        <v>0</v>
      </c>
      <c r="E26" s="310">
        <f>C26*C14</f>
        <v>0</v>
      </c>
      <c r="F26" s="310">
        <f>$C$20*D26</f>
        <v>0</v>
      </c>
      <c r="G26" s="308"/>
      <c r="H26" s="308"/>
    </row>
    <row r="27" spans="1:10" x14ac:dyDescent="0.2">
      <c r="B27" s="222" t="s">
        <v>476</v>
      </c>
      <c r="C27" s="311">
        <f>SUM(C24:C26)</f>
        <v>0</v>
      </c>
      <c r="D27" s="311">
        <f>SUM(D24:D26)</f>
        <v>0</v>
      </c>
      <c r="E27" s="311">
        <f>SUM(E24:E26)</f>
        <v>0</v>
      </c>
      <c r="F27" s="311">
        <f>SUM(F24:F26)</f>
        <v>0</v>
      </c>
      <c r="G27" s="311"/>
      <c r="H27" s="311"/>
    </row>
    <row r="28" spans="1:10" x14ac:dyDescent="0.2">
      <c r="C28" s="267"/>
      <c r="D28" s="305"/>
      <c r="E28" s="258"/>
      <c r="F28" s="258"/>
      <c r="G28" s="258"/>
      <c r="H28" s="258"/>
      <c r="I28" s="258"/>
      <c r="J28" s="258"/>
    </row>
    <row r="29" spans="1:10" x14ac:dyDescent="0.2">
      <c r="B29" s="67" t="s">
        <v>390</v>
      </c>
      <c r="C29" s="251"/>
      <c r="D29" s="251"/>
      <c r="E29" s="251"/>
      <c r="F29" s="251"/>
      <c r="G29" s="251"/>
      <c r="I29" s="251"/>
      <c r="J29" s="251"/>
    </row>
    <row r="30" spans="1:10" ht="56.25" x14ac:dyDescent="0.2">
      <c r="C30" s="202" t="s">
        <v>309</v>
      </c>
      <c r="D30" s="51" t="s">
        <v>477</v>
      </c>
      <c r="E30" s="51" t="s">
        <v>478</v>
      </c>
      <c r="F30" s="51" t="s">
        <v>479</v>
      </c>
      <c r="G30" s="51"/>
      <c r="H30" s="51"/>
      <c r="I30" s="51"/>
      <c r="J30" s="51"/>
    </row>
    <row r="32" spans="1:10" x14ac:dyDescent="0.2"/>
    <row r="43" x14ac:dyDescent="0.2"/>
  </sheetData>
  <sheetProtection selectLockedCells="1" selectUnlockedCells="1"/>
  <mergeCells count="7">
    <mergeCell ref="D19:F19"/>
    <mergeCell ref="D20:F20"/>
    <mergeCell ref="D12:F12"/>
    <mergeCell ref="D13:F13"/>
    <mergeCell ref="D14:F14"/>
    <mergeCell ref="D17:F17"/>
    <mergeCell ref="D18:F18"/>
  </mergeCells>
  <pageMargins left="0.7" right="0.7" top="0.75" bottom="0.75" header="0.3" footer="0.3"/>
  <pageSetup scale="71"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92D050"/>
  </sheetPr>
  <dimension ref="A1:P31"/>
  <sheetViews>
    <sheetView showGridLines="0" zoomScaleNormal="100" workbookViewId="0">
      <pane ySplit="1" topLeftCell="A13" activePane="bottomLeft" state="frozen"/>
      <selection activeCell="B1" sqref="B1"/>
      <selection pane="bottomLeft"/>
    </sheetView>
  </sheetViews>
  <sheetFormatPr defaultColWidth="0" defaultRowHeight="14.25" zeroHeight="1" x14ac:dyDescent="0.2"/>
  <cols>
    <col min="1" max="1" width="9.140625" style="82" customWidth="1"/>
    <col min="2" max="2" width="44.85546875" style="82" customWidth="1"/>
    <col min="3" max="3" width="13.140625" style="82" customWidth="1"/>
    <col min="4" max="4" width="24.85546875" style="82" customWidth="1"/>
    <col min="5" max="5" width="35.85546875" style="82" bestFit="1" customWidth="1"/>
    <col min="6" max="11" width="9.140625" style="82" customWidth="1"/>
    <col min="12" max="16" width="0" style="82" hidden="1" customWidth="1"/>
    <col min="17" max="16384" width="9.140625" style="82" hidden="1"/>
  </cols>
  <sheetData>
    <row r="1" spans="2:10" ht="99.75" customHeight="1" x14ac:dyDescent="0.2"/>
    <row r="2" spans="2:10" s="222" customFormat="1" ht="26.25" x14ac:dyDescent="0.4">
      <c r="B2" s="6" t="s">
        <v>480</v>
      </c>
    </row>
    <row r="3" spans="2:10" s="222" customFormat="1" ht="12.75" x14ac:dyDescent="0.2">
      <c r="B3" s="27" t="s">
        <v>205</v>
      </c>
    </row>
    <row r="4" spans="2:10" s="222" customFormat="1" ht="12.75" x14ac:dyDescent="0.2"/>
    <row r="5" spans="2:10" s="222" customFormat="1" ht="13.5" thickBot="1" x14ac:dyDescent="0.25">
      <c r="B5" s="48" t="s">
        <v>300</v>
      </c>
      <c r="C5" s="48"/>
      <c r="D5" s="48" t="s">
        <v>301</v>
      </c>
      <c r="E5" s="48"/>
      <c r="F5" s="48"/>
      <c r="G5" s="48"/>
      <c r="H5" s="48"/>
      <c r="I5" s="48"/>
      <c r="J5" s="48"/>
    </row>
    <row r="6" spans="2:10" s="222" customFormat="1" ht="12.75" x14ac:dyDescent="0.2">
      <c r="B6" s="247" t="s">
        <v>151</v>
      </c>
      <c r="C6" s="258">
        <f>D26/1000000</f>
        <v>7.3619941104047115E-6</v>
      </c>
      <c r="D6" s="25" t="s">
        <v>445</v>
      </c>
    </row>
    <row r="7" spans="2:10" s="222" customFormat="1" ht="15.75" x14ac:dyDescent="0.3">
      <c r="B7" s="259" t="s">
        <v>303</v>
      </c>
      <c r="C7" s="293">
        <f>E26</f>
        <v>4.8094999999999993E-5</v>
      </c>
      <c r="D7" s="25" t="s">
        <v>403</v>
      </c>
    </row>
    <row r="8" spans="2:10" s="222" customFormat="1" ht="12.75" x14ac:dyDescent="0.2">
      <c r="B8" s="31" t="s">
        <v>305</v>
      </c>
      <c r="C8" s="32">
        <f>IF(C6&gt;0,C7/C6,0)</f>
        <v>6.5328767286063565</v>
      </c>
      <c r="D8" s="25" t="s">
        <v>306</v>
      </c>
    </row>
    <row r="9" spans="2:10" s="222" customFormat="1" ht="12.75" x14ac:dyDescent="0.2"/>
    <row r="10" spans="2:10" s="222" customFormat="1" ht="12.75" x14ac:dyDescent="0.2"/>
    <row r="11" spans="2:10" s="222" customFormat="1" ht="12.75" x14ac:dyDescent="0.2">
      <c r="B11" s="59" t="s">
        <v>238</v>
      </c>
      <c r="C11" s="59"/>
      <c r="D11" s="84"/>
      <c r="E11" s="59"/>
      <c r="F11" s="59"/>
      <c r="G11" s="59"/>
      <c r="H11" s="59"/>
      <c r="I11" s="59"/>
      <c r="J11" s="59"/>
    </row>
    <row r="12" spans="2:10" s="222" customFormat="1" ht="15.75" x14ac:dyDescent="0.3">
      <c r="B12" s="55" t="str">
        <f>B22</f>
        <v>Generation Type</v>
      </c>
      <c r="C12" s="54" t="s">
        <v>481</v>
      </c>
      <c r="D12" s="55" t="s">
        <v>207</v>
      </c>
      <c r="E12" s="55"/>
      <c r="F12" s="55"/>
      <c r="G12" s="55"/>
      <c r="H12" s="55"/>
      <c r="I12" s="55"/>
      <c r="J12" s="55"/>
    </row>
    <row r="13" spans="2:10" s="222" customFormat="1" ht="12.75" x14ac:dyDescent="0.2">
      <c r="B13" s="247" t="str">
        <f>B23</f>
        <v>Wind</v>
      </c>
      <c r="C13" s="56">
        <f>IF(Dashboard!$Q$2=TRUE,Factors!D59,Factors!F59)</f>
        <v>13</v>
      </c>
      <c r="D13" s="193" t="str">
        <f>IF(Dashboard!$Q$2=TRUE,Factors!E59,Factors!G59)</f>
        <v>NREL Total Life Cycle Emissions from Wind (Table 1):
https://www.nrel.gov/docs/fy21osti/80580.pdf</v>
      </c>
    </row>
    <row r="14" spans="2:10" s="222" customFormat="1" ht="12.75" x14ac:dyDescent="0.2">
      <c r="B14" s="247" t="str">
        <f>B24</f>
        <v>Solar</v>
      </c>
      <c r="C14" s="56">
        <f>IF(Dashboard!$Q$2=TRUE,Factors!D60,Factors!F60)</f>
        <v>43</v>
      </c>
      <c r="D14" s="193" t="str">
        <f>IF(Dashboard!$Q$2=TRUE,Factors!E60,Factors!G60)</f>
        <v>NREL Total Life Cycle Emissions from Photovoltaics (Table 1):
https://www.nrel.gov/docs/fy21osti/80580.pdf</v>
      </c>
    </row>
    <row r="15" spans="2:10" s="222" customFormat="1" ht="12.75" x14ac:dyDescent="0.2">
      <c r="B15" s="247" t="str">
        <f>B25</f>
        <v>Geothermal</v>
      </c>
      <c r="C15" s="56">
        <f>IF(Dashboard!$Q$2=TRUE,Factors!D61,Factors!F61)</f>
        <v>37</v>
      </c>
      <c r="D15" s="193" t="str">
        <f>IF(Dashboard!$Q$2=TRUE,Factors!E61,Factors!G61)</f>
        <v>NREL Total Life Cycle Emissions from Geothermal (Table 1):
https://www.nrel.gov/docs/fy21osti/80580.pdf</v>
      </c>
    </row>
    <row r="16" spans="2:10" s="222" customFormat="1" ht="12.75" x14ac:dyDescent="0.2">
      <c r="B16" s="50" t="s">
        <v>482</v>
      </c>
    </row>
    <row r="17" spans="2:10" s="222" customFormat="1" ht="12.75" x14ac:dyDescent="0.2">
      <c r="D17" s="27"/>
    </row>
    <row r="18" spans="2:10" s="222" customFormat="1" ht="12.75" x14ac:dyDescent="0.2">
      <c r="B18" s="59" t="s">
        <v>316</v>
      </c>
      <c r="C18" s="59"/>
      <c r="D18" s="84" t="s">
        <v>301</v>
      </c>
      <c r="E18" s="59"/>
      <c r="F18" s="59"/>
      <c r="G18" s="59"/>
      <c r="H18" s="59"/>
      <c r="I18" s="59"/>
      <c r="J18" s="59"/>
    </row>
    <row r="19" spans="2:10" s="222" customFormat="1" ht="12.75" x14ac:dyDescent="0.2">
      <c r="B19" s="247" t="s">
        <v>237</v>
      </c>
      <c r="C19" s="89">
        <f>IF(Dashboard!$Q$2=TRUE,Factors!D29,Factors!F29)</f>
        <v>277.77800000000002</v>
      </c>
      <c r="D19" s="193" t="str">
        <f>IF(Dashboard!$Q$2=TRUE,Factors!E29,Factors!G29)</f>
        <v>Unit conversion</v>
      </c>
    </row>
    <row r="20" spans="2:10" s="222" customFormat="1" ht="12.75" x14ac:dyDescent="0.2"/>
    <row r="21" spans="2:10" s="222" customFormat="1" ht="12.75" x14ac:dyDescent="0.2">
      <c r="B21" s="59" t="s">
        <v>418</v>
      </c>
      <c r="C21" s="59"/>
      <c r="D21" s="84"/>
      <c r="E21" s="59"/>
      <c r="F21" s="59"/>
      <c r="G21" s="59"/>
      <c r="H21" s="59"/>
      <c r="I21" s="59"/>
      <c r="J21" s="59"/>
    </row>
    <row r="22" spans="2:10" s="222" customFormat="1" ht="30" customHeight="1" x14ac:dyDescent="0.2">
      <c r="B22" s="7" t="s">
        <v>483</v>
      </c>
      <c r="C22" s="203" t="s">
        <v>484</v>
      </c>
      <c r="D22" s="203" t="s">
        <v>485</v>
      </c>
      <c r="E22" s="203" t="s">
        <v>474</v>
      </c>
    </row>
    <row r="23" spans="2:10" s="222" customFormat="1" ht="12.75" x14ac:dyDescent="0.2">
      <c r="B23" s="312" t="str">
        <f>Dashboard!B35</f>
        <v>Wind</v>
      </c>
      <c r="C23" s="90">
        <f>Dashboard!C35</f>
        <v>1328</v>
      </c>
      <c r="D23" s="313">
        <f>C23/$C$19</f>
        <v>4.7807961753630597</v>
      </c>
      <c r="E23" s="325">
        <f>C23*C13/1000000000</f>
        <v>1.7263999999999999E-5</v>
      </c>
    </row>
    <row r="24" spans="2:10" s="222" customFormat="1" ht="12.75" x14ac:dyDescent="0.2">
      <c r="B24" s="247" t="str">
        <f>Dashboard!B36</f>
        <v>Solar</v>
      </c>
      <c r="C24" s="9">
        <f>Dashboard!C36</f>
        <v>717</v>
      </c>
      <c r="D24" s="314">
        <f>C24/$C$19</f>
        <v>2.5811979350416516</v>
      </c>
      <c r="E24" s="326">
        <f>C24*C14/1000000000</f>
        <v>3.0830999999999997E-5</v>
      </c>
    </row>
    <row r="25" spans="2:10" s="222" customFormat="1" ht="12.75" x14ac:dyDescent="0.2">
      <c r="B25" s="259" t="str">
        <f>Dashboard!B37</f>
        <v>Geothermal</v>
      </c>
      <c r="C25" s="26">
        <f>Dashboard!C37</f>
        <v>0</v>
      </c>
      <c r="D25" s="315">
        <f>C25/$C$19</f>
        <v>0</v>
      </c>
      <c r="E25" s="327">
        <f>C25*C15/1000000000</f>
        <v>0</v>
      </c>
    </row>
    <row r="26" spans="2:10" s="222" customFormat="1" ht="12.75" x14ac:dyDescent="0.2">
      <c r="B26" s="247" t="s">
        <v>476</v>
      </c>
      <c r="C26" s="264">
        <f>SUM(C23:C25)</f>
        <v>2045</v>
      </c>
      <c r="D26" s="264">
        <f>SUM(D23:D25)</f>
        <v>7.3619941104047113</v>
      </c>
      <c r="E26" s="326">
        <f>SUM(E23:E25)</f>
        <v>4.8094999999999993E-5</v>
      </c>
    </row>
    <row r="27" spans="2:10" s="222" customFormat="1" ht="12.75" x14ac:dyDescent="0.2">
      <c r="B27" s="247"/>
      <c r="C27" s="264"/>
      <c r="D27" s="264"/>
      <c r="E27" s="282"/>
    </row>
    <row r="28" spans="2:10" s="222" customFormat="1" ht="12.75" x14ac:dyDescent="0.2">
      <c r="B28" s="67" t="s">
        <v>390</v>
      </c>
      <c r="C28" s="251"/>
      <c r="D28" s="251"/>
      <c r="E28" s="251"/>
    </row>
    <row r="29" spans="2:10" s="222" customFormat="1" ht="33.75" x14ac:dyDescent="0.2">
      <c r="C29" s="51" t="s">
        <v>309</v>
      </c>
      <c r="D29" s="51" t="s">
        <v>486</v>
      </c>
      <c r="E29" s="51" t="s">
        <v>487</v>
      </c>
      <c r="F29" s="51"/>
      <c r="G29" s="51"/>
      <c r="H29" s="51"/>
      <c r="I29" s="51"/>
    </row>
    <row r="30" spans="2:10" s="222" customFormat="1" ht="12.75" x14ac:dyDescent="0.2">
      <c r="B30" s="247"/>
    </row>
    <row r="31" spans="2:10" x14ac:dyDescent="0.2"/>
  </sheetData>
  <sheetProtection selectLockedCells="1" selectUnlockedCells="1"/>
  <pageMargins left="0.7" right="0.7" top="0.75" bottom="0.75" header="0.3" footer="0.3"/>
  <pageSetup scale="64" orientation="landscape" horizontalDpi="360" verticalDpi="360"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tabColor theme="1"/>
  </sheetPr>
  <dimension ref="A1:P11"/>
  <sheetViews>
    <sheetView showGridLines="0" zoomScaleNormal="100" workbookViewId="0">
      <pane ySplit="1" topLeftCell="A2" activePane="bottomLeft" state="frozen"/>
      <selection activeCell="B1" sqref="B1"/>
      <selection pane="bottomLeft" activeCell="B4" sqref="B4"/>
    </sheetView>
  </sheetViews>
  <sheetFormatPr defaultColWidth="0" defaultRowHeight="14.25" zeroHeight="1" x14ac:dyDescent="0.2"/>
  <cols>
    <col min="1" max="1" width="9.140625" style="82" customWidth="1"/>
    <col min="2" max="2" width="162.7109375" style="82" customWidth="1"/>
    <col min="3" max="3" width="9.140625" style="82" customWidth="1"/>
    <col min="4" max="16" width="0" style="82" hidden="1" customWidth="1"/>
    <col min="17" max="16384" width="9.140625" style="82" hidden="1"/>
  </cols>
  <sheetData>
    <row r="1" spans="2:2" ht="99.75" customHeight="1" x14ac:dyDescent="0.2"/>
    <row r="2" spans="2:2" ht="26.25" x14ac:dyDescent="0.4">
      <c r="B2" s="6" t="s">
        <v>488</v>
      </c>
    </row>
    <row r="3" spans="2:2" x14ac:dyDescent="0.2"/>
    <row r="4" spans="2:2" x14ac:dyDescent="0.2">
      <c r="B4" s="167" t="s">
        <v>492</v>
      </c>
    </row>
    <row r="5" spans="2:2" x14ac:dyDescent="0.2"/>
    <row r="6" spans="2:2" s="222" customFormat="1" ht="12.75" x14ac:dyDescent="0.2">
      <c r="B6" s="223" t="s">
        <v>489</v>
      </c>
    </row>
    <row r="7" spans="2:2" s="222" customFormat="1" ht="12.75" x14ac:dyDescent="0.2">
      <c r="B7" s="223"/>
    </row>
    <row r="8" spans="2:2" s="222" customFormat="1" ht="12.75" x14ac:dyDescent="0.2">
      <c r="B8" s="223" t="s">
        <v>493</v>
      </c>
    </row>
    <row r="9" spans="2:2" s="222" customFormat="1" ht="12.75" x14ac:dyDescent="0.2">
      <c r="B9" s="223"/>
    </row>
    <row r="10" spans="2:2" s="222" customFormat="1" ht="25.5" x14ac:dyDescent="0.2">
      <c r="B10" s="223" t="s">
        <v>490</v>
      </c>
    </row>
    <row r="11" spans="2:2" x14ac:dyDescent="0.2"/>
  </sheetData>
  <sheetProtection selectLockedCells="1" selectUnlockedCells="1"/>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9f1db13-37d0-4e45-944c-b878e8992007" xsi:nil="true"/>
    <SharedWithUsers xmlns="25be8ece-f178-4da6-99de-a117353d6496">
      <UserInfo>
        <DisplayName>Cain, John (CAIN)</DisplayName>
        <AccountId>32</AccountId>
        <AccountType/>
      </UserInfo>
      <UserInfo>
        <DisplayName>Rieger, Andrew</DisplayName>
        <AccountId>2683</AccountId>
        <AccountType/>
      </UserInfo>
      <UserInfo>
        <DisplayName>Branesky, Bri</DisplayName>
        <AccountId>2773</AccountId>
        <AccountType/>
      </UserInfo>
      <UserInfo>
        <DisplayName>Lindsay, Ian A</DisplayName>
        <AccountId>80</AccountId>
        <AccountType/>
      </UserInfo>
      <UserInfo>
        <DisplayName>Everyone</DisplayName>
        <AccountId>11</AccountId>
        <AccountType/>
      </UserInfo>
      <UserInfo>
        <DisplayName>Cuba,Nicolas</DisplayName>
        <AccountId>2266</AccountId>
        <AccountType/>
      </UserInfo>
      <UserInfo>
        <DisplayName>McCray, Corey</DisplayName>
        <AccountId>77</AccountId>
        <AccountType/>
      </UserInfo>
      <UserInfo>
        <DisplayName>Richardson, Philip</DisplayName>
        <AccountId>1027</AccountId>
        <AccountType/>
      </UserInfo>
      <UserInfo>
        <DisplayName>Mcturk,James</DisplayName>
        <AccountId>3378</AccountId>
        <AccountType/>
      </UserInfo>
      <UserInfo>
        <DisplayName>Davis, Allicia</DisplayName>
        <AccountId>5292</AccountId>
        <AccountType/>
      </UserInfo>
      <UserInfo>
        <DisplayName>Olea, Manuel E</DisplayName>
        <AccountId>3188</AccountId>
        <AccountType/>
      </UserInfo>
      <UserInfo>
        <DisplayName>Pugh, Wendoline</DisplayName>
        <AccountId>5293</AccountId>
        <AccountType/>
      </UserInfo>
      <UserInfo>
        <DisplayName>Pickard, Matt</DisplayName>
        <AccountId>5298</AccountId>
        <AccountType/>
      </UserInfo>
      <UserInfo>
        <DisplayName>Ji, Jiang</DisplayName>
        <AccountId>1987</AccountId>
        <AccountType/>
      </UserInfo>
      <UserInfo>
        <DisplayName>Mangulal, Pratima [TECH MAHINDRA]</DisplayName>
        <AccountId>4172</AccountId>
        <AccountType/>
      </UserInfo>
      <UserInfo>
        <DisplayName>Yoshimura, Tatsuya (T.Yoshimura)</DisplayName>
        <AccountId>750</AccountId>
        <AccountType/>
      </UserInfo>
      <UserInfo>
        <DisplayName>Burke, Steven</DisplayName>
        <AccountId>4751</AccountId>
        <AccountType/>
      </UserInfo>
      <UserInfo>
        <DisplayName>Hasenkampf, Madi</DisplayName>
        <AccountId>859</AccountId>
        <AccountType/>
      </UserInfo>
    </SharedWithUsers>
    <lcf76f155ced4ddcb4097134ff3c332f xmlns="ccd750eb-4f69-47ea-845a-dfccb464a3e5">
      <Terms xmlns="http://schemas.microsoft.com/office/infopath/2007/PartnerControls"/>
    </lcf76f155ced4ddcb4097134ff3c332f>
    <BU xmlns="ccd750eb-4f69-47ea-845a-dfccb464a3e5" xsi:nil="true"/>
    <Year xmlns="ccd750eb-4f69-47ea-845a-dfccb464a3e5" xsi:nil="true"/>
    <Category2 xmlns="ccd750eb-4f69-47ea-845a-dfccb464a3e5" xsi:nil="true"/>
    <Cateogry1 xmlns="ccd750eb-4f69-47ea-845a-dfccb464a3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3CCEA3BB516104FB887B3D4E21CCC4B" ma:contentTypeVersion="20" ma:contentTypeDescription="Create a new document." ma:contentTypeScope="" ma:versionID="1aafcbe55b6ddaead2e712e4f05e4b9d">
  <xsd:schema xmlns:xsd="http://www.w3.org/2001/XMLSchema" xmlns:xs="http://www.w3.org/2001/XMLSchema" xmlns:p="http://schemas.microsoft.com/office/2006/metadata/properties" xmlns:ns2="ccd750eb-4f69-47ea-845a-dfccb464a3e5" xmlns:ns3="25be8ece-f178-4da6-99de-a117353d6496" xmlns:ns4="b9f1db13-37d0-4e45-944c-b878e8992007" targetNamespace="http://schemas.microsoft.com/office/2006/metadata/properties" ma:root="true" ma:fieldsID="5ea2e933f641ad069ec57eb5220ac544" ns2:_="" ns3:_="" ns4:_="">
    <xsd:import namespace="ccd750eb-4f69-47ea-845a-dfccb464a3e5"/>
    <xsd:import namespace="25be8ece-f178-4da6-99de-a117353d6496"/>
    <xsd:import namespace="b9f1db13-37d0-4e45-944c-b878e8992007"/>
    <xsd:element name="properties">
      <xsd:complexType>
        <xsd:sequence>
          <xsd:element name="documentManagement">
            <xsd:complexType>
              <xsd:all>
                <xsd:element ref="ns2:Year" minOccurs="0"/>
                <xsd:element ref="ns2:BU" minOccurs="0"/>
                <xsd:element ref="ns2:Cateogry1" minOccurs="0"/>
                <xsd:element ref="ns2:Category2"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d750eb-4f69-47ea-845a-dfccb464a3e5" elementFormDefault="qualified">
    <xsd:import namespace="http://schemas.microsoft.com/office/2006/documentManagement/types"/>
    <xsd:import namespace="http://schemas.microsoft.com/office/infopath/2007/PartnerControls"/>
    <xsd:element name="Year" ma:index="8" nillable="true" ma:displayName="Year" ma:format="Dropdown" ma:internalName="Year">
      <xsd:simpleType>
        <xsd:restriction base="dms:Text">
          <xsd:maxLength value="255"/>
        </xsd:restriction>
      </xsd:simpleType>
    </xsd:element>
    <xsd:element name="BU" ma:index="9" nillable="true" ma:displayName="Group" ma:format="Dropdown" ma:internalName="BU">
      <xsd:simpleType>
        <xsd:restriction base="dms:Text">
          <xsd:maxLength value="255"/>
        </xsd:restriction>
      </xsd:simpleType>
    </xsd:element>
    <xsd:element name="Cateogry1" ma:index="10" nillable="true" ma:displayName="Category1" ma:format="Dropdown" ma:internalName="Cateogry1">
      <xsd:simpleType>
        <xsd:restriction base="dms:Text">
          <xsd:maxLength value="255"/>
        </xsd:restriction>
      </xsd:simpleType>
    </xsd:element>
    <xsd:element name="Category2" ma:index="11" nillable="true" ma:displayName="Category 2" ma:format="Dropdown" ma:internalName="Category2">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3b784c7-ee61-4ee7-89a9-d87ec2bf0954"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be8ece-f178-4da6-99de-a117353d649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f1db13-37d0-4e45-944c-b878e8992007"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b80f52d-c968-4df3-9e67-5142c1b65107}" ma:internalName="TaxCatchAll" ma:showField="CatchAllData" ma:web="25be8ece-f178-4da6-99de-a117353d64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B6301D-91C6-4CBF-AA94-1EC20E38A2CC}">
  <ds:schemaRefs>
    <ds:schemaRef ds:uri="25be8ece-f178-4da6-99de-a117353d6496"/>
    <ds:schemaRef ds:uri="http://schemas.openxmlformats.org/package/2006/metadata/core-properties"/>
    <ds:schemaRef ds:uri="ccd750eb-4f69-47ea-845a-dfccb464a3e5"/>
    <ds:schemaRef ds:uri="http://purl.org/dc/elements/1.1/"/>
    <ds:schemaRef ds:uri="http://schemas.microsoft.com/office/2006/documentManagement/types"/>
    <ds:schemaRef ds:uri="http://www.w3.org/XML/1998/namespace"/>
    <ds:schemaRef ds:uri="http://purl.org/dc/dcmitype/"/>
    <ds:schemaRef ds:uri="http://schemas.microsoft.com/office/infopath/2007/PartnerControls"/>
    <ds:schemaRef ds:uri="b9f1db13-37d0-4e45-944c-b878e8992007"/>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B7FE2C3-93C0-4B37-84FF-6743B68A42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d750eb-4f69-47ea-845a-dfccb464a3e5"/>
    <ds:schemaRef ds:uri="25be8ece-f178-4da6-99de-a117353d6496"/>
    <ds:schemaRef ds:uri="b9f1db13-37d0-4e45-944c-b878e89920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5DCF82-3568-4CC4-B140-A592B7C500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Home</vt:lpstr>
      <vt:lpstr>Education</vt:lpstr>
      <vt:lpstr>FAQ</vt:lpstr>
      <vt:lpstr>User Guide</vt:lpstr>
      <vt:lpstr>Abbreviations</vt:lpstr>
      <vt:lpstr>Dashboard</vt:lpstr>
      <vt:lpstr> Alt Calc - Refined Products</vt:lpstr>
      <vt:lpstr>Factors</vt:lpstr>
      <vt:lpstr>Oil and Refined Products</vt:lpstr>
      <vt:lpstr>Gas and LNG</vt:lpstr>
      <vt:lpstr>Biofuels</vt:lpstr>
      <vt:lpstr>NGLs</vt:lpstr>
      <vt:lpstr>Hydrogen</vt:lpstr>
      <vt:lpstr>Lower Carbon Power</vt:lpstr>
      <vt:lpstr>Terms and Conditions</vt:lpstr>
      <vt:lpstr>Education!Print_Area</vt:lpstr>
      <vt:lpstr>FAQ!Print_Area</vt:lpstr>
      <vt:lpstr>Hydrogen!Print_Area</vt:lpstr>
      <vt:lpstr>'Lower Carbon Power'!Print_Area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Westmoreland, Steven</cp:lastModifiedBy>
  <cp:revision/>
  <cp:lastPrinted>2024-04-23T16:11:50Z</cp:lastPrinted>
  <dcterms:created xsi:type="dcterms:W3CDTF">2021-10-07T22:05:32Z</dcterms:created>
  <dcterms:modified xsi:type="dcterms:W3CDTF">2024-05-14T16:09:35Z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4db608-ddec-4a44-8ad7-7d5a79b7448e_Enabled">
    <vt:lpwstr>true</vt:lpwstr>
  </property>
  <property fmtid="{D5CDD505-2E9C-101B-9397-08002B2CF9AE}" pid="3" name="MSIP_Label_6e4db608-ddec-4a44-8ad7-7d5a79b7448e_SetDate">
    <vt:lpwstr>2021-10-07T22:05:43Z</vt:lpwstr>
  </property>
  <property fmtid="{D5CDD505-2E9C-101B-9397-08002B2CF9AE}" pid="4" name="MSIP_Label_6e4db608-ddec-4a44-8ad7-7d5a79b7448e_Method">
    <vt:lpwstr>Privileged</vt:lpwstr>
  </property>
  <property fmtid="{D5CDD505-2E9C-101B-9397-08002B2CF9AE}" pid="5" name="MSIP_Label_6e4db608-ddec-4a44-8ad7-7d5a79b7448e_Name">
    <vt:lpwstr>Internal</vt:lpwstr>
  </property>
  <property fmtid="{D5CDD505-2E9C-101B-9397-08002B2CF9AE}" pid="6" name="MSIP_Label_6e4db608-ddec-4a44-8ad7-7d5a79b7448e_SiteId">
    <vt:lpwstr>fd799da1-bfc1-4234-a91c-72b3a1cb9e26</vt:lpwstr>
  </property>
  <property fmtid="{D5CDD505-2E9C-101B-9397-08002B2CF9AE}" pid="7" name="MSIP_Label_6e4db608-ddec-4a44-8ad7-7d5a79b7448e_ActionId">
    <vt:lpwstr>c59d36e5-064b-40a0-b161-98be676784c7</vt:lpwstr>
  </property>
  <property fmtid="{D5CDD505-2E9C-101B-9397-08002B2CF9AE}" pid="8" name="MSIP_Label_6e4db608-ddec-4a44-8ad7-7d5a79b7448e_ContentBits">
    <vt:lpwstr>0</vt:lpwstr>
  </property>
  <property fmtid="{D5CDD505-2E9C-101B-9397-08002B2CF9AE}" pid="9" name="ContentTypeId">
    <vt:lpwstr>0x010100E3CCEA3BB516104FB887B3D4E21CCC4B</vt:lpwstr>
  </property>
  <property fmtid="{D5CDD505-2E9C-101B-9397-08002B2CF9AE}" pid="10" name="f1f5acf37a9e4df8843432af9802a72a">
    <vt:lpwstr/>
  </property>
  <property fmtid="{D5CDD505-2E9C-101B-9397-08002B2CF9AE}" pid="11" name="Retention Category">
    <vt:lpwstr>12;#Reference Document|b32bd135-7ebe-49d0-bfcc-ca766c5e9989</vt:lpwstr>
  </property>
  <property fmtid="{D5CDD505-2E9C-101B-9397-08002B2CF9AE}" pid="12" name="Chevron Organization">
    <vt:lpwstr>2;#Midstream HQ|677e0b76-b05a-4771-acbd-17603a723c94</vt:lpwstr>
  </property>
  <property fmtid="{D5CDD505-2E9C-101B-9397-08002B2CF9AE}" pid="13" name="Chevron_x0020_Discipline">
    <vt:lpwstr/>
  </property>
  <property fmtid="{D5CDD505-2E9C-101B-9397-08002B2CF9AE}" pid="14" name="Chevron Discipline">
    <vt:lpwstr/>
  </property>
  <property fmtid="{D5CDD505-2E9C-101B-9397-08002B2CF9AE}" pid="15" name="SV_QUERY_LIST_4F35BF76-6C0D-4D9B-82B2-816C12CF3733">
    <vt:lpwstr>empty_477D106A-C0D6-4607-AEBD-E2C9D60EA279</vt:lpwstr>
  </property>
  <property fmtid="{D5CDD505-2E9C-101B-9397-08002B2CF9AE}" pid="16" name="SV_HIDDEN_GRID_QUERY_LIST_4F35BF76-6C0D-4D9B-82B2-816C12CF3733">
    <vt:lpwstr>empty_477D106A-C0D6-4607-AEBD-E2C9D60EA279</vt:lpwstr>
  </property>
  <property fmtid="{D5CDD505-2E9C-101B-9397-08002B2CF9AE}" pid="17" name="MediaServiceImageTags">
    <vt:lpwstr/>
  </property>
</Properties>
</file>